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Default Extension="vml" ContentType="application/vnd.openxmlformats-officedocument.vmlDrawing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8" activeTab="19"/>
  </bookViews>
  <sheets>
    <sheet name="Лист29" sheetId="1" r:id="rId1"/>
    <sheet name="ПРО жим софт мн.петельная" sheetId="2" r:id="rId2"/>
    <sheet name="16-34-49Русская тяга проф. 150" sheetId="3" r:id="rId3"/>
    <sheet name="РЖ любители 55 кг." sheetId="4" r:id="rId4"/>
    <sheet name="РЖ любители 35 кг." sheetId="5" r:id="rId5"/>
    <sheet name="РЖ Проф 55 кг." sheetId="6" r:id="rId6"/>
    <sheet name="Люб. народный жим 1_2 вес" sheetId="7" r:id="rId7"/>
    <sheet name="Люб. народный жим 1 вес" sheetId="8" r:id="rId8"/>
    <sheet name="Пауэрспорт Профессионалы" sheetId="9" r:id="rId9"/>
    <sheet name="Пауэрспорт Любители" sheetId="10" r:id="rId10"/>
    <sheet name="Бицепс Профессионалы" sheetId="11" r:id="rId11"/>
    <sheet name="Бицепс Любители" sheetId="12" r:id="rId12"/>
    <sheet name="Двоеборье проф." sheetId="13" r:id="rId13"/>
    <sheet name="Двоеборье люб" sheetId="14" r:id="rId14"/>
    <sheet name="ПРО тяга б.э." sheetId="15" r:id="rId15"/>
    <sheet name="Люб. тяга б.э." sheetId="16" r:id="rId16"/>
    <sheet name="Люб. жим жим софт мн.петельная" sheetId="17" r:id="rId17"/>
    <sheet name="Люб. жим 1 петельная" sheetId="18" r:id="rId18"/>
    <sheet name="ПРО жим б.э." sheetId="19" r:id="rId19"/>
    <sheet name="Люб. жим б.э." sheetId="20" r:id="rId20"/>
    <sheet name="СОВ жим" sheetId="21" r:id="rId21"/>
    <sheet name="ПРО Военный жим" sheetId="22" r:id="rId22"/>
    <sheet name="Люб. Военный жим" sheetId="23" r:id="rId23"/>
    <sheet name="Лист30" sheetId="24" r:id="rId24"/>
  </sheets>
  <definedNames/>
  <calcPr fullCalcOnLoad="1" refMode="R1C1"/>
</workbook>
</file>

<file path=xl/sharedStrings.xml><?xml version="1.0" encoding="utf-8"?>
<sst xmlns="http://schemas.openxmlformats.org/spreadsheetml/2006/main" count="2161" uniqueCount="652">
  <si>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</si>
  <si>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</si>
  <si>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</si>
  <si>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</si>
  <si>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</si>
  <si>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</si>
  <si>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</si>
  <si>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</si>
  <si>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</si>
  <si>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</si>
  <si>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</si>
  <si>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</si>
  <si>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</si>
  <si>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Кубок Федерации
Любители военный жим
Воронеж/Воронежская область 12 - 13 октября 2019 г.</t>
  </si>
  <si>
    <t>Shv/Mel</t>
  </si>
  <si>
    <t>Жим лёжа</t>
  </si>
  <si>
    <t>ВЕСОВАЯ КАТЕГОРИЯ   90</t>
  </si>
  <si>
    <t>Шевченко Сергей</t>
  </si>
  <si>
    <t>1. Шевченко Сергей</t>
  </si>
  <si>
    <t>Открытая (02.09.1981)/38</t>
  </si>
  <si>
    <t>88,70</t>
  </si>
  <si>
    <t xml:space="preserve">Стальное звено </t>
  </si>
  <si>
    <t xml:space="preserve">Воронеж/Воронежская область </t>
  </si>
  <si>
    <t>120,0</t>
  </si>
  <si>
    <t>125,0</t>
  </si>
  <si>
    <t>130,0</t>
  </si>
  <si>
    <t xml:space="preserve">Самостоятельно </t>
  </si>
  <si>
    <t>ВЕСОВАЯ КАТЕГОРИЯ   100</t>
  </si>
  <si>
    <t>Гороховцев Олег</t>
  </si>
  <si>
    <t>1. Гороховцев Олег</t>
  </si>
  <si>
    <t>Мастера 45 - 49 (29.12.1971)/47</t>
  </si>
  <si>
    <t>91,80</t>
  </si>
  <si>
    <t>115,0</t>
  </si>
  <si>
    <t>127,5</t>
  </si>
  <si>
    <t>Гаршин Александр</t>
  </si>
  <si>
    <t>1. Гаршин Александр</t>
  </si>
  <si>
    <t>Мастера 65 - 69 (29.06.1954)/65</t>
  </si>
  <si>
    <t>92,40</t>
  </si>
  <si>
    <t xml:space="preserve">Мастера жима </t>
  </si>
  <si>
    <t xml:space="preserve">Монино/Московская область </t>
  </si>
  <si>
    <t>100,0</t>
  </si>
  <si>
    <t xml:space="preserve">Добржанский Вячеслав </t>
  </si>
  <si>
    <t>ВЕСОВАЯ КАТЕГОРИЯ   125</t>
  </si>
  <si>
    <t>Дорофеев Александр</t>
  </si>
  <si>
    <t>1. Дорофеев Александр</t>
  </si>
  <si>
    <t>Открытая (26.02.1990)/29</t>
  </si>
  <si>
    <t>112,40</t>
  </si>
  <si>
    <t>175,0</t>
  </si>
  <si>
    <t>185,0</t>
  </si>
  <si>
    <t>190,0</t>
  </si>
  <si>
    <t xml:space="preserve">Селявкин Д.В.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</si>
  <si>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</si>
  <si>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</si>
  <si>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</si>
  <si>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</si>
  <si>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</si>
  <si>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</si>
  <si>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</si>
  <si>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</si>
  <si>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</si>
  <si>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</si>
  <si>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</si>
  <si>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</si>
  <si>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</si>
  <si>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125</t>
  </si>
  <si>
    <t>101,4220</t>
  </si>
  <si>
    <t>90</t>
  </si>
  <si>
    <t>76,7650</t>
  </si>
  <si>
    <t xml:space="preserve">Мастера </t>
  </si>
  <si>
    <t xml:space="preserve">Мастера 65 - 69 </t>
  </si>
  <si>
    <t>100</t>
  </si>
  <si>
    <t>110,6880</t>
  </si>
  <si>
    <t xml:space="preserve">Мастера 45 - 49 </t>
  </si>
  <si>
    <t>75,8197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</si>
  <si>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</si>
  <si>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</si>
  <si>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</si>
  <si>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</si>
  <si>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36(12+12+12) </t>
  </si>
  <si>
    <t xml:space="preserve">Гороховцев Олег, Шевченко Сергей, Дорофеев Александр </t>
  </si>
  <si>
    <t xml:space="preserve">12(12) </t>
  </si>
  <si>
    <t xml:space="preserve">Гаршин Александр </t>
  </si>
  <si>
    <t>Результат</t>
  </si>
  <si>
    <t>Кубок Федерации
ПРО военный жим
Воронеж/Воронежская область 12 - 13 октября 2019 г.</t>
  </si>
  <si>
    <t>Кудиевский Александр</t>
  </si>
  <si>
    <t>1. Кудиевский Александр</t>
  </si>
  <si>
    <t>Мастера 40 - 44 (02.06.1977)/42</t>
  </si>
  <si>
    <t>88,50</t>
  </si>
  <si>
    <t xml:space="preserve">Вольные стрелки </t>
  </si>
  <si>
    <t xml:space="preserve">Белгород/Белгородская область </t>
  </si>
  <si>
    <t>110,0</t>
  </si>
  <si>
    <t>Агарков Сергей</t>
  </si>
  <si>
    <t>1. Агарков Сергей</t>
  </si>
  <si>
    <t>Мастера 45 - 49 (02.06.1972)/47</t>
  </si>
  <si>
    <t>122,50</t>
  </si>
  <si>
    <t>145,0</t>
  </si>
  <si>
    <t>150,0</t>
  </si>
  <si>
    <t>160,0</t>
  </si>
  <si>
    <t>91,6057</t>
  </si>
  <si>
    <t xml:space="preserve">Мастера 40 - 44 </t>
  </si>
  <si>
    <t>74,5903</t>
  </si>
  <si>
    <t xml:space="preserve">Кудиевский Александр </t>
  </si>
  <si>
    <t xml:space="preserve">Агарков Сергей </t>
  </si>
  <si>
    <t>Кубок Федерации
СОВ жим лежа
Воронеж/Воронежская область 12 - 13 октября 2019 г.</t>
  </si>
  <si>
    <t>ВЕСОВАЯ КАТЕГОРИЯ   60</t>
  </si>
  <si>
    <t>Любивый Дмитрий</t>
  </si>
  <si>
    <t>1. Любивый Дмитрий</t>
  </si>
  <si>
    <t>Мастера 40 - 44 (01.02.1976)/43</t>
  </si>
  <si>
    <t>58,40</t>
  </si>
  <si>
    <t>70,0</t>
  </si>
  <si>
    <t>75,0</t>
  </si>
  <si>
    <t>60</t>
  </si>
  <si>
    <t>59,5805</t>
  </si>
  <si>
    <t xml:space="preserve">Любивый Дмитрий </t>
  </si>
  <si>
    <t>Кубок Федерации
Любители жим лежа без экипировки
Воронеж/Воронежская область 12 - 13 октября 2019 г.</t>
  </si>
  <si>
    <t>ВЕСОВАЯ КАТЕГОРИЯ   52</t>
  </si>
  <si>
    <t>Кошкина Софья</t>
  </si>
  <si>
    <t>1. Кошкина Софья</t>
  </si>
  <si>
    <t>Юниорки 20 - 23 (04.11.1995)/23</t>
  </si>
  <si>
    <t>51,60</t>
  </si>
  <si>
    <t xml:space="preserve">лично </t>
  </si>
  <si>
    <t>55,0</t>
  </si>
  <si>
    <t>60,0</t>
  </si>
  <si>
    <t>62,5</t>
  </si>
  <si>
    <t>ВЕСОВАЯ КАТЕГОРИЯ   67.5</t>
  </si>
  <si>
    <t>Корниенко Наталия</t>
  </si>
  <si>
    <t>1. Корниенко Наталия</t>
  </si>
  <si>
    <t>Открытая (21.11.1988)/30</t>
  </si>
  <si>
    <t>67,30</t>
  </si>
  <si>
    <t xml:space="preserve">Богучар/Воронежская область </t>
  </si>
  <si>
    <t>72,5</t>
  </si>
  <si>
    <t xml:space="preserve">Корниенко Р.В. </t>
  </si>
  <si>
    <t>Зарудняя Татьяна</t>
  </si>
  <si>
    <t>1. Зарудняя Татьяна</t>
  </si>
  <si>
    <t>Мастера 40 - 44 (18.03.1977)/42</t>
  </si>
  <si>
    <t>65,60</t>
  </si>
  <si>
    <t>80,0</t>
  </si>
  <si>
    <t>85,0</t>
  </si>
  <si>
    <t xml:space="preserve">Остапенко Илья </t>
  </si>
  <si>
    <t>ВЕСОВАЯ КАТЕГОРИЯ   75</t>
  </si>
  <si>
    <t>Зубарев Андрей</t>
  </si>
  <si>
    <t>1. Зубарев Андрей</t>
  </si>
  <si>
    <t>Открытая (06.01.1985)/34</t>
  </si>
  <si>
    <t>73,30</t>
  </si>
  <si>
    <t>132,5</t>
  </si>
  <si>
    <t>137,5</t>
  </si>
  <si>
    <t>142,5</t>
  </si>
  <si>
    <t xml:space="preserve">Рядинский Д.Ю. </t>
  </si>
  <si>
    <t>Чеботарев Виталий</t>
  </si>
  <si>
    <t>1. Чеботарев Виталий</t>
  </si>
  <si>
    <t>Мастера 55 - 59 (02.09.1960)/59</t>
  </si>
  <si>
    <t>72,90</t>
  </si>
  <si>
    <t>95,0</t>
  </si>
  <si>
    <t>105,0</t>
  </si>
  <si>
    <t>ВЕСОВАЯ КАТЕГОРИЯ   82.5</t>
  </si>
  <si>
    <t>Шакин Дмитрий</t>
  </si>
  <si>
    <t>1. Шакин Дмитрий</t>
  </si>
  <si>
    <t>Открытая (19.10.1991)/27</t>
  </si>
  <si>
    <t>79,70</t>
  </si>
  <si>
    <t xml:space="preserve">Жегульский А.М. </t>
  </si>
  <si>
    <t>Кирюшин Виталий</t>
  </si>
  <si>
    <t>1. Кирюшин Виталий</t>
  </si>
  <si>
    <t>Открытая (28.08.1979)/40</t>
  </si>
  <si>
    <t>87,60</t>
  </si>
  <si>
    <t>147,5</t>
  </si>
  <si>
    <t>155,0</t>
  </si>
  <si>
    <t>2. Шевченко Сергей</t>
  </si>
  <si>
    <t>135,0</t>
  </si>
  <si>
    <t>140,0</t>
  </si>
  <si>
    <t>Мастера 40 - 44 (28.08.1979)/40</t>
  </si>
  <si>
    <t>Горбачев Александр</t>
  </si>
  <si>
    <t>1. Горбачев Александр</t>
  </si>
  <si>
    <t>Открытая (27.04.1988)/31</t>
  </si>
  <si>
    <t>98,60</t>
  </si>
  <si>
    <t xml:space="preserve">Дмитриев/Курская область </t>
  </si>
  <si>
    <t>162,5</t>
  </si>
  <si>
    <t>ВЕСОВАЯ КАТЕГОРИЯ   110</t>
  </si>
  <si>
    <t>Ильченко Евгений</t>
  </si>
  <si>
    <t>1. Ильченко Евгений</t>
  </si>
  <si>
    <t>Открытая (11.02.1981)/38</t>
  </si>
  <si>
    <t>108,30</t>
  </si>
  <si>
    <t xml:space="preserve">Россошь </t>
  </si>
  <si>
    <t xml:space="preserve">Россошь/Воронежская область </t>
  </si>
  <si>
    <t>167,5</t>
  </si>
  <si>
    <t>170,0</t>
  </si>
  <si>
    <t>172,5</t>
  </si>
  <si>
    <t xml:space="preserve">Киреев Роман </t>
  </si>
  <si>
    <t>Киреев Роман</t>
  </si>
  <si>
    <t>1. Киреев Роман</t>
  </si>
  <si>
    <t>Мастера 40 - 44 (13.10.1979)/39</t>
  </si>
  <si>
    <t>109,10</t>
  </si>
  <si>
    <t>157,5</t>
  </si>
  <si>
    <t xml:space="preserve">Ильченко Евгений </t>
  </si>
  <si>
    <t>Пятаков Сергей</t>
  </si>
  <si>
    <t>1. Пятаков Сергей</t>
  </si>
  <si>
    <t>Открытая (09.07.1988)/31</t>
  </si>
  <si>
    <t>205,0</t>
  </si>
  <si>
    <t>215,0</t>
  </si>
  <si>
    <t>2. Дорофеев Александр</t>
  </si>
  <si>
    <t>192,5</t>
  </si>
  <si>
    <t>195,0</t>
  </si>
  <si>
    <t>Ненашев Федор</t>
  </si>
  <si>
    <t>3. Ненашев Федор</t>
  </si>
  <si>
    <t>Открытая (24.10.1988)/30</t>
  </si>
  <si>
    <t>117,50</t>
  </si>
  <si>
    <t xml:space="preserve">Урюпинск/Волгоградская область </t>
  </si>
  <si>
    <t>177,5</t>
  </si>
  <si>
    <t xml:space="preserve">Женщины </t>
  </si>
  <si>
    <t xml:space="preserve">Юниорки </t>
  </si>
  <si>
    <t xml:space="preserve">Юниоры 20 - 23 </t>
  </si>
  <si>
    <t>52</t>
  </si>
  <si>
    <t>58,5270</t>
  </si>
  <si>
    <t>67.5</t>
  </si>
  <si>
    <t>56,6370</t>
  </si>
  <si>
    <t>64,4509</t>
  </si>
  <si>
    <t>112,7245</t>
  </si>
  <si>
    <t>104,0910</t>
  </si>
  <si>
    <t>75</t>
  </si>
  <si>
    <t>96,4297</t>
  </si>
  <si>
    <t>93,9330</t>
  </si>
  <si>
    <t>110</t>
  </si>
  <si>
    <t>91,5620</t>
  </si>
  <si>
    <t>90,5938</t>
  </si>
  <si>
    <t>89,2800</t>
  </si>
  <si>
    <t>82,6700</t>
  </si>
  <si>
    <t>82.5</t>
  </si>
  <si>
    <t>79,3375</t>
  </si>
  <si>
    <t xml:space="preserve">Мастера 55 - 59 </t>
  </si>
  <si>
    <t>113,4759</t>
  </si>
  <si>
    <t>90,0480</t>
  </si>
  <si>
    <t xml:space="preserve">30(12+9+9) </t>
  </si>
  <si>
    <t xml:space="preserve">Шакин Дмитрий, Шевченко Сергей, Дорофеев Александр </t>
  </si>
  <si>
    <t xml:space="preserve">24(12+12) </t>
  </si>
  <si>
    <t xml:space="preserve">Киреев Роман, Ильченко Евгений </t>
  </si>
  <si>
    <t xml:space="preserve">Зубарев Андрей </t>
  </si>
  <si>
    <t>Кубок Федерации
ПРО жим лежа без экипировки
Воронеж/Воронежская область 12 - 13 октября 2019 г.</t>
  </si>
  <si>
    <t>Колдин Дмитрий</t>
  </si>
  <si>
    <t>1. Колдин Дмитрий</t>
  </si>
  <si>
    <t>Открытая (04.05.1992)/27</t>
  </si>
  <si>
    <t>73,40</t>
  </si>
  <si>
    <t xml:space="preserve">Иван Каширин </t>
  </si>
  <si>
    <t>-. Веремянин Юрий</t>
  </si>
  <si>
    <t>Открытая (03.09.1978)/41</t>
  </si>
  <si>
    <t>100,00</t>
  </si>
  <si>
    <t xml:space="preserve">Белов В.В. </t>
  </si>
  <si>
    <t>Каширин Иван</t>
  </si>
  <si>
    <t>1. Каширин Иван</t>
  </si>
  <si>
    <t>Мастера 40 - 44 (01.01.1979)/40</t>
  </si>
  <si>
    <t>102,90</t>
  </si>
  <si>
    <t>Дальниковский Дмитрий</t>
  </si>
  <si>
    <t>1. Дальниковский Дмитрий</t>
  </si>
  <si>
    <t>Открытая (12.10.1982)/37</t>
  </si>
  <si>
    <t>110,90</t>
  </si>
  <si>
    <t>122,40</t>
  </si>
  <si>
    <t>165,0</t>
  </si>
  <si>
    <t>80,3100</t>
  </si>
  <si>
    <t>77,7400</t>
  </si>
  <si>
    <t>94,5044</t>
  </si>
  <si>
    <t>79,4165</t>
  </si>
  <si>
    <t xml:space="preserve">Колдин Дмитрий, Каширин Иван </t>
  </si>
  <si>
    <t>Кубок Федерации
Любители жим лежа в Софт экипировка однопетельная
Воронеж/Воронежская область 12 - 13 октября 2019 г.</t>
  </si>
  <si>
    <t>Попов Александр</t>
  </si>
  <si>
    <t>1. Попов Александр</t>
  </si>
  <si>
    <t>Открытая (07.05.1987)/32</t>
  </si>
  <si>
    <t>89,00</t>
  </si>
  <si>
    <t xml:space="preserve">Мичуринск/Тамбовская область </t>
  </si>
  <si>
    <t>180,0</t>
  </si>
  <si>
    <t>187,5</t>
  </si>
  <si>
    <t>110,4937</t>
  </si>
  <si>
    <t>Кубок Федерации
Любители жим лежа в Софт экипировка многопетельная
Воронеж/Воронежская область 12 - 13 октября 2019 г.</t>
  </si>
  <si>
    <t>Горбанев Виталий</t>
  </si>
  <si>
    <t>1. Горбанев Виталий</t>
  </si>
  <si>
    <t>Открытая (28.09.1987)/32</t>
  </si>
  <si>
    <t>105,50</t>
  </si>
  <si>
    <t>200,0</t>
  </si>
  <si>
    <t>225,0</t>
  </si>
  <si>
    <t xml:space="preserve">Илья Остапенко </t>
  </si>
  <si>
    <t>116,7235</t>
  </si>
  <si>
    <t>Кубок Федерации
Любители становая тяга без экипировки
Воронеж/Воронежская область 12 - 13 октября 2019 г.</t>
  </si>
  <si>
    <t>Становая тяга</t>
  </si>
  <si>
    <t>Щербинина Елена</t>
  </si>
  <si>
    <t>1. Щербинина Елена</t>
  </si>
  <si>
    <t>Мастера 55 - 59 (04.11.1961)/57</t>
  </si>
  <si>
    <t>72,50</t>
  </si>
  <si>
    <t>117,5</t>
  </si>
  <si>
    <t>122,5</t>
  </si>
  <si>
    <t xml:space="preserve">Смостоятельно </t>
  </si>
  <si>
    <t>Плахова Наталья</t>
  </si>
  <si>
    <t>1. Плахова Наталья</t>
  </si>
  <si>
    <t>Мастера 60 - 64 (03.06.1958)/61</t>
  </si>
  <si>
    <t>80,60</t>
  </si>
  <si>
    <t xml:space="preserve">Рамонь/Воронжская </t>
  </si>
  <si>
    <t>92,5</t>
  </si>
  <si>
    <t>97,5</t>
  </si>
  <si>
    <t xml:space="preserve">Кирюшин Виталий </t>
  </si>
  <si>
    <t>Польшиков Василий</t>
  </si>
  <si>
    <t>1. Польшиков Василий</t>
  </si>
  <si>
    <t>Открытая (27.09.1982)/37</t>
  </si>
  <si>
    <t>83,00</t>
  </si>
  <si>
    <t>220,0</t>
  </si>
  <si>
    <t>230,0</t>
  </si>
  <si>
    <t>240,0</t>
  </si>
  <si>
    <t>Ушаков Игорь</t>
  </si>
  <si>
    <t>-. Ушаков Игорь</t>
  </si>
  <si>
    <t>Открытая (09.11.1999)/19</t>
  </si>
  <si>
    <t xml:space="preserve">Genetic Power </t>
  </si>
  <si>
    <t xml:space="preserve">Бородин М.Г. </t>
  </si>
  <si>
    <t>-. Козлов Вадим</t>
  </si>
  <si>
    <t>Открытая (28.08.1996)/23</t>
  </si>
  <si>
    <t>139,5908</t>
  </si>
  <si>
    <t xml:space="preserve">Мастера 60 - 64 </t>
  </si>
  <si>
    <t>110,6437</t>
  </si>
  <si>
    <t>148,0080</t>
  </si>
  <si>
    <t>117,4195</t>
  </si>
  <si>
    <t xml:space="preserve">Шакин Дмитрий, Плахова Наталья </t>
  </si>
  <si>
    <t xml:space="preserve">Польшиков Василий </t>
  </si>
  <si>
    <t>Кубок Федерации
ПРО становая тяга без экипировки
Воронеж/Воронежская область 12 - 13 октября 2019 г.</t>
  </si>
  <si>
    <t>Карпова Екатерина</t>
  </si>
  <si>
    <t>1. Карпова Екатерина</t>
  </si>
  <si>
    <t>Открытая (13.03.1987)/32</t>
  </si>
  <si>
    <t>58,50</t>
  </si>
  <si>
    <t>102,5</t>
  </si>
  <si>
    <t xml:space="preserve">Беглов Ю.М. </t>
  </si>
  <si>
    <t>1. Ушаков Игорь</t>
  </si>
  <si>
    <t>Юноши 18 - 19 (09.11.1999)/19</t>
  </si>
  <si>
    <t>95,70</t>
  </si>
  <si>
    <t>202,5</t>
  </si>
  <si>
    <t>207,5</t>
  </si>
  <si>
    <t>Жегульский Алексей</t>
  </si>
  <si>
    <t>1. Жегульский Алексей</t>
  </si>
  <si>
    <t>Открытая (27.02.1984)/35</t>
  </si>
  <si>
    <t>121,40</t>
  </si>
  <si>
    <t>260,0</t>
  </si>
  <si>
    <t>270,0</t>
  </si>
  <si>
    <t>275,0</t>
  </si>
  <si>
    <t xml:space="preserve">Дорофеев Александр </t>
  </si>
  <si>
    <t>90,1385</t>
  </si>
  <si>
    <t xml:space="preserve">Юноши </t>
  </si>
  <si>
    <t xml:space="preserve">Юноши 18 - 19 </t>
  </si>
  <si>
    <t>119,1364</t>
  </si>
  <si>
    <t>141,9120</t>
  </si>
  <si>
    <t xml:space="preserve">Карпова Екатерина, Жегульский Алексей </t>
  </si>
  <si>
    <t xml:space="preserve">Ушаков Игорь </t>
  </si>
  <si>
    <t>Кубок Федерации
Одиночный подъём штанги на бицепс Любители
Воронеж/Воронежская область 12 - 13 октября 2019 г.</t>
  </si>
  <si>
    <t>Подъем на бицепс</t>
  </si>
  <si>
    <t>Кевеян Эдуард</t>
  </si>
  <si>
    <t>1. Кевеян Эдуард</t>
  </si>
  <si>
    <t>Юноши 14-15 (12.02.2004)/15</t>
  </si>
  <si>
    <t>62,40</t>
  </si>
  <si>
    <t>42,5</t>
  </si>
  <si>
    <t>47,5</t>
  </si>
  <si>
    <t>50,0</t>
  </si>
  <si>
    <t>Анохин Даниил</t>
  </si>
  <si>
    <t>1. Анохин Даниил</t>
  </si>
  <si>
    <t>Юноши 16 - 17 (30.06.2003)/16</t>
  </si>
  <si>
    <t>64,80</t>
  </si>
  <si>
    <t>37,5</t>
  </si>
  <si>
    <t>40,0</t>
  </si>
  <si>
    <t xml:space="preserve">Мальцев Сергей </t>
  </si>
  <si>
    <t>-. Антоненко Николай</t>
  </si>
  <si>
    <t>Открытая (09.03.2001)/18</t>
  </si>
  <si>
    <t>67,50</t>
  </si>
  <si>
    <t xml:space="preserve">Валуйки/Белгородская область </t>
  </si>
  <si>
    <t xml:space="preserve">Татаркин Александр </t>
  </si>
  <si>
    <t>-. Магомедов Мурад</t>
  </si>
  <si>
    <t>Открытая (13.10.1997)/21</t>
  </si>
  <si>
    <t xml:space="preserve">ВУНЦ ВВС ВВА </t>
  </si>
  <si>
    <t xml:space="preserve">Избербаш/Дагестан республика </t>
  </si>
  <si>
    <t>Воронин Владислав</t>
  </si>
  <si>
    <t>1. Воронин Владислав</t>
  </si>
  <si>
    <t>Юноши 18 - 19 (03.12.2000)/18</t>
  </si>
  <si>
    <t>72,80</t>
  </si>
  <si>
    <t xml:space="preserve">Валуйки </t>
  </si>
  <si>
    <t>52,5</t>
  </si>
  <si>
    <t>57,5</t>
  </si>
  <si>
    <t>Магомедкадиев Мурад</t>
  </si>
  <si>
    <t>1. Магомедкадиев Мурад</t>
  </si>
  <si>
    <t>Юниоры 20 - 23 (13.10.1997)/21</t>
  </si>
  <si>
    <t>71,40</t>
  </si>
  <si>
    <t>Вязников Андрей</t>
  </si>
  <si>
    <t>2. Вязников Андрей</t>
  </si>
  <si>
    <t>Юниоры 20 - 23 (11.05.1999)/20</t>
  </si>
  <si>
    <t>72,10</t>
  </si>
  <si>
    <t>Тимофеев Владислав</t>
  </si>
  <si>
    <t>1. Тимофеев Владислав</t>
  </si>
  <si>
    <t>Открытая (02.05.1994)/25</t>
  </si>
  <si>
    <t>72,70</t>
  </si>
  <si>
    <t xml:space="preserve">Старый Оскол/Белгородская область </t>
  </si>
  <si>
    <t>65,0</t>
  </si>
  <si>
    <t>2. Зубарев Андрей</t>
  </si>
  <si>
    <t>3. Вязников Андрей</t>
  </si>
  <si>
    <t>Открытая (11.05.1999)/20</t>
  </si>
  <si>
    <t>Куприй Валерий</t>
  </si>
  <si>
    <t>4. Куприй Валерий</t>
  </si>
  <si>
    <t>Открытая (19.10.1986)/32</t>
  </si>
  <si>
    <t>75,00</t>
  </si>
  <si>
    <t>Надточий Никита</t>
  </si>
  <si>
    <t>1. Надточий Никита</t>
  </si>
  <si>
    <t>Юноши 18 - 19 (26.02.2000)/19</t>
  </si>
  <si>
    <t>76,90</t>
  </si>
  <si>
    <t>Воронин Павел</t>
  </si>
  <si>
    <t>1. Воронин Павел</t>
  </si>
  <si>
    <t>Юниоры 20 - 23 (17.09.1999)/20</t>
  </si>
  <si>
    <t>76,80</t>
  </si>
  <si>
    <t>Семериков Илья</t>
  </si>
  <si>
    <t>2. Семериков Илья</t>
  </si>
  <si>
    <t>Юниоры 20 - 23 (31.12.1996)/22</t>
  </si>
  <si>
    <t>79,10</t>
  </si>
  <si>
    <t>Рядинский Денис</t>
  </si>
  <si>
    <t>1. Рядинский Денис</t>
  </si>
  <si>
    <t>Открытая (06.07.1985)/34</t>
  </si>
  <si>
    <t>82,50</t>
  </si>
  <si>
    <t>67,5</t>
  </si>
  <si>
    <t xml:space="preserve">Трунов Михаил </t>
  </si>
  <si>
    <t>2. Шакин Дмитрий</t>
  </si>
  <si>
    <t>3. Надточий Никита</t>
  </si>
  <si>
    <t>Открытая (26.02.2000)/19</t>
  </si>
  <si>
    <t>Шутко Максим</t>
  </si>
  <si>
    <t>-. Шутко Максим</t>
  </si>
  <si>
    <t>Открытая (22.01.1999)/20</t>
  </si>
  <si>
    <t>Горбик Владимир</t>
  </si>
  <si>
    <t>1. Горбик Владимир</t>
  </si>
  <si>
    <t>Мастера 40 - 44 (06.01.1978)/41</t>
  </si>
  <si>
    <t>80,10</t>
  </si>
  <si>
    <t>Титов Вадим</t>
  </si>
  <si>
    <t>1. Титов Вадим</t>
  </si>
  <si>
    <t>Юниоры 20 - 23 (13.07.1998)/21</t>
  </si>
  <si>
    <t>86,50</t>
  </si>
  <si>
    <t xml:space="preserve">Юноши 14-15 </t>
  </si>
  <si>
    <t>43,7975</t>
  </si>
  <si>
    <t>42,3605</t>
  </si>
  <si>
    <t>41,4765</t>
  </si>
  <si>
    <t xml:space="preserve">Юноши 16 - 17 </t>
  </si>
  <si>
    <t>34,0582</t>
  </si>
  <si>
    <t xml:space="preserve">Юниоры </t>
  </si>
  <si>
    <t>41,9983</t>
  </si>
  <si>
    <t>41,8988</t>
  </si>
  <si>
    <t>40,6224</t>
  </si>
  <si>
    <t>38,6749</t>
  </si>
  <si>
    <t>38,2500</t>
  </si>
  <si>
    <t>46,4475</t>
  </si>
  <si>
    <t>44,2780</t>
  </si>
  <si>
    <t>42,2937</t>
  </si>
  <si>
    <t>41,2555</t>
  </si>
  <si>
    <t>40,7313</t>
  </si>
  <si>
    <t>39,4392</t>
  </si>
  <si>
    <t>36,5475</t>
  </si>
  <si>
    <t>38,0578</t>
  </si>
  <si>
    <t xml:space="preserve">45(12+12+9+12) </t>
  </si>
  <si>
    <t xml:space="preserve">Горбик Владимир, Кевеян Эдуард, Шакин Дмитрий, Магомедкадиев Мурад </t>
  </si>
  <si>
    <t xml:space="preserve">28(9+12+7) </t>
  </si>
  <si>
    <t xml:space="preserve">Зубарев Андрей, Рядинский Денис, Куприй Валерий </t>
  </si>
  <si>
    <t xml:space="preserve">Воронин Павел, Воронин Владислав </t>
  </si>
  <si>
    <t>Кубок Федерации
Одиночный подъём штанги на бицепс Профессионалы
Воронеж/Воронежская область 12 - 13 октября 2019 г.</t>
  </si>
  <si>
    <t>Рядинский Данила</t>
  </si>
  <si>
    <t>1. Рядинский Данила</t>
  </si>
  <si>
    <t>Юноши 0-13 (01.12.2009)/9</t>
  </si>
  <si>
    <t>28,00</t>
  </si>
  <si>
    <t>10,0</t>
  </si>
  <si>
    <t>12,5</t>
  </si>
  <si>
    <t>15,0</t>
  </si>
  <si>
    <t>Бабичев Дмитрий</t>
  </si>
  <si>
    <t>1. Бабичев Дмитрий</t>
  </si>
  <si>
    <t>Юниоры 20 - 23 (04.12.1998)/20</t>
  </si>
  <si>
    <t>85,70</t>
  </si>
  <si>
    <t xml:space="preserve">ЦСК </t>
  </si>
  <si>
    <t xml:space="preserve">Вабишевич Владимир </t>
  </si>
  <si>
    <t>Годжиев Валентин</t>
  </si>
  <si>
    <t>1. Годжиев Валентин</t>
  </si>
  <si>
    <t>Мастера 40 - 44 (04.09.1977)/42</t>
  </si>
  <si>
    <t>85,30</t>
  </si>
  <si>
    <t>ВЕСОВАЯ КАТЕГОРИЯ   140</t>
  </si>
  <si>
    <t>Лавлинский Александр</t>
  </si>
  <si>
    <t>1. Лавлинский Александр</t>
  </si>
  <si>
    <t>Открытая (10.06.1985)/34</t>
  </si>
  <si>
    <t>131,00</t>
  </si>
  <si>
    <t xml:space="preserve">Юноши 0-13 </t>
  </si>
  <si>
    <t>20,1920</t>
  </si>
  <si>
    <t>38,8568</t>
  </si>
  <si>
    <t>140</t>
  </si>
  <si>
    <t>38,5350</t>
  </si>
  <si>
    <t>44,2938</t>
  </si>
  <si>
    <t xml:space="preserve">Рядинский Данила, Лавлинский Александр </t>
  </si>
  <si>
    <t xml:space="preserve">Бабичев Дмитрий </t>
  </si>
  <si>
    <t>Кубок Федерации
Пауэрспорт Любители
Воронеж/Воронежская область 12 - 13 октября 2019 г.</t>
  </si>
  <si>
    <t>Жим стоя</t>
  </si>
  <si>
    <t>Турищев Алексей</t>
  </si>
  <si>
    <t>1. Турищев Алексей</t>
  </si>
  <si>
    <t>Открытая (22.02.1986)/33</t>
  </si>
  <si>
    <t>59,40</t>
  </si>
  <si>
    <t xml:space="preserve">Нововоронеж/Воронежская область </t>
  </si>
  <si>
    <t>1. Куприй Валерий</t>
  </si>
  <si>
    <t>73,20</t>
  </si>
  <si>
    <t>Сопов Денис</t>
  </si>
  <si>
    <t>1. Сопов Денис</t>
  </si>
  <si>
    <t>Открытая (19.05.1982)/37</t>
  </si>
  <si>
    <t>87,80</t>
  </si>
  <si>
    <t>82,5</t>
  </si>
  <si>
    <t>87,5</t>
  </si>
  <si>
    <t>96,5028</t>
  </si>
  <si>
    <t>152,5</t>
  </si>
  <si>
    <t>90,6307</t>
  </si>
  <si>
    <t>79,5945</t>
  </si>
  <si>
    <t xml:space="preserve">Сопов Денис, Куприй Валерий </t>
  </si>
  <si>
    <t>Кубок Федерации
Пауэрспорт Профессионалы
Воронеж/Воронежская область 12 - 13 октября 2019 г.</t>
  </si>
  <si>
    <t>1. Шутко Максим</t>
  </si>
  <si>
    <t>Юниоры 20 - 23 (22.01.1999)/20</t>
  </si>
  <si>
    <t>77,5</t>
  </si>
  <si>
    <t>Трофимов Дмитрий</t>
  </si>
  <si>
    <t>1. Трофимов Дмитрий</t>
  </si>
  <si>
    <t>Открытая (18.02.1974)/45</t>
  </si>
  <si>
    <t>84,40</t>
  </si>
  <si>
    <t>Мастера 45 - 49 (18.02.1974)/45</t>
  </si>
  <si>
    <t>90,5794</t>
  </si>
  <si>
    <t>93,2940</t>
  </si>
  <si>
    <t>85,3720</t>
  </si>
  <si>
    <t>89,4699</t>
  </si>
  <si>
    <t xml:space="preserve">Трофимов Дмитрий, Трофимов Дмитрий </t>
  </si>
  <si>
    <t xml:space="preserve">Жегульский Алексей </t>
  </si>
  <si>
    <t>Кубок Федерации
Любители народный жим (1 вес)
Воронеж/Воронежская область 12 - 13 октября 2019 г.</t>
  </si>
  <si>
    <t>НАП Н.Ж.</t>
  </si>
  <si>
    <t>Народный жим</t>
  </si>
  <si>
    <t>Калинин Сергей</t>
  </si>
  <si>
    <t>1. Калинин Сергей</t>
  </si>
  <si>
    <t>Мастера 40 - 44 (19.11.1975)/43</t>
  </si>
  <si>
    <t>74,60</t>
  </si>
  <si>
    <t xml:space="preserve">Москва </t>
  </si>
  <si>
    <t>34,0</t>
  </si>
  <si>
    <t>Дудкин Никита</t>
  </si>
  <si>
    <t>1. Дудкин Никита</t>
  </si>
  <si>
    <t>Юноши 18 - 19 (27.07.2001)/18</t>
  </si>
  <si>
    <t>78,90</t>
  </si>
  <si>
    <t>39,0</t>
  </si>
  <si>
    <t>Санников Александр</t>
  </si>
  <si>
    <t>1. Санников Александр</t>
  </si>
  <si>
    <t>Открытая (24.04.1981)/38</t>
  </si>
  <si>
    <t>89,60</t>
  </si>
  <si>
    <t>90,0</t>
  </si>
  <si>
    <t>25,0</t>
  </si>
  <si>
    <t>112,5</t>
  </si>
  <si>
    <t>20,0</t>
  </si>
  <si>
    <t xml:space="preserve">НАП Н.Ж. </t>
  </si>
  <si>
    <t>3120,0</t>
  </si>
  <si>
    <t>2467,6080</t>
  </si>
  <si>
    <t>2250,0</t>
  </si>
  <si>
    <t>1613,0250</t>
  </si>
  <si>
    <t>1561,5000</t>
  </si>
  <si>
    <t>2550,0</t>
  </si>
  <si>
    <t>2017,5600</t>
  </si>
  <si>
    <t xml:space="preserve">Дудкин Никита, Дорофеев Александр </t>
  </si>
  <si>
    <t xml:space="preserve">Санников Александр </t>
  </si>
  <si>
    <t>Вес</t>
  </si>
  <si>
    <t>Повторы</t>
  </si>
  <si>
    <t>Тоннаж</t>
  </si>
  <si>
    <t>Кубок Федерации
Любители народный жим (1/2 вес)
Воронеж/Воронежская область 12 - 13 октября 2019 г.</t>
  </si>
  <si>
    <t>Пономарев Матвей</t>
  </si>
  <si>
    <t>1. Пономарев Матвей</t>
  </si>
  <si>
    <t>Юноши 0-13 (31.01.2013)/6</t>
  </si>
  <si>
    <t>28,30</t>
  </si>
  <si>
    <t>17,0</t>
  </si>
  <si>
    <t xml:space="preserve">С.Рубцов </t>
  </si>
  <si>
    <t>1700,0</t>
  </si>
  <si>
    <t>3123,7500</t>
  </si>
  <si>
    <t xml:space="preserve">Пономарев Матвей </t>
  </si>
  <si>
    <t>Кубок Федерации
Русский жим профессионалы 55 кг.
Воронеж/Воронежская область 12 - 13 октября 2019 г.</t>
  </si>
  <si>
    <t>Атлетизм</t>
  </si>
  <si>
    <t>Русский жим</t>
  </si>
  <si>
    <t>ВЕСОВАЯ КАТЕГОРИЯ   All</t>
  </si>
  <si>
    <t>Киян Андрей</t>
  </si>
  <si>
    <t>1. Киян Андрей</t>
  </si>
  <si>
    <t>Мастера 45 - 49 (17.06.1974)/45</t>
  </si>
  <si>
    <t>94,30</t>
  </si>
  <si>
    <t xml:space="preserve">А.Голованов </t>
  </si>
  <si>
    <t xml:space="preserve">Атлетизм </t>
  </si>
  <si>
    <t>All</t>
  </si>
  <si>
    <t>14850,0</t>
  </si>
  <si>
    <t>157,4761</t>
  </si>
  <si>
    <t xml:space="preserve">Киян Андрей </t>
  </si>
  <si>
    <t>Кубок Федерации
Русский жим любители 35 кг.
Воронеж/Воронежская область 12 - 13 октября 2019 г.</t>
  </si>
  <si>
    <t>35,0</t>
  </si>
  <si>
    <t>42,0</t>
  </si>
  <si>
    <t>1470,0</t>
  </si>
  <si>
    <t>21,8424</t>
  </si>
  <si>
    <t xml:space="preserve">Корниенко Наталия </t>
  </si>
  <si>
    <t>Кубок Федерации
Русский жим любители 55 кг.
Воронеж/Воронежская область 12 - 13 октября 2019 г.</t>
  </si>
  <si>
    <t>Корниенко Руслан</t>
  </si>
  <si>
    <t>1. Корниенко Руслан</t>
  </si>
  <si>
    <t>Открытая (03.09.1981)/38</t>
  </si>
  <si>
    <t>96,50</t>
  </si>
  <si>
    <t>94,0</t>
  </si>
  <si>
    <t xml:space="preserve">Гоцкин Юрий </t>
  </si>
  <si>
    <t>2. Тимофеев Владислав</t>
  </si>
  <si>
    <t>Борзиков Александр</t>
  </si>
  <si>
    <t>1. Борзиков Александр</t>
  </si>
  <si>
    <t>Мастера 50 - 54 (08.05.1965)/54</t>
  </si>
  <si>
    <t>95,30</t>
  </si>
  <si>
    <t>5170,0</t>
  </si>
  <si>
    <t>53,5751</t>
  </si>
  <si>
    <t>2750,0</t>
  </si>
  <si>
    <t>37,8266</t>
  </si>
  <si>
    <t>3025,0</t>
  </si>
  <si>
    <t>32,7380</t>
  </si>
  <si>
    <t xml:space="preserve">Мастера 50 - 54 </t>
  </si>
  <si>
    <t>31,7418</t>
  </si>
  <si>
    <t xml:space="preserve">Борзиков Александр, Корниенко Руслан </t>
  </si>
  <si>
    <t>Осокин Илья</t>
  </si>
  <si>
    <t>Кубок Федерации
ПРО жим лежа в Софт экипировка многопетельная
Воронеж/Воронежская область 12 - 13 октября 2019 г.</t>
  </si>
  <si>
    <t>Остапенко Илья</t>
  </si>
  <si>
    <t>1. Остапенко Илья</t>
  </si>
  <si>
    <t>Открытая (22.12.1987)/31</t>
  </si>
  <si>
    <t>114,00</t>
  </si>
  <si>
    <t xml:space="preserve">Павел Шульгин </t>
  </si>
  <si>
    <t>122,4290</t>
  </si>
  <si>
    <t>Толстых В.И.</t>
  </si>
  <si>
    <t>Гусева Л.Н.</t>
  </si>
  <si>
    <t>Капачев А.А.</t>
  </si>
  <si>
    <t>Гурный Н.Е.</t>
  </si>
  <si>
    <t>Енчук Р.Р.</t>
  </si>
  <si>
    <t>Толстых Р.В.</t>
  </si>
  <si>
    <t>Толстых В.И</t>
  </si>
  <si>
    <t>Капачев А.А</t>
  </si>
  <si>
    <t>открытая</t>
  </si>
  <si>
    <t>123.8</t>
  </si>
  <si>
    <t>Вольные стрелки</t>
  </si>
  <si>
    <t>Воронеж</t>
  </si>
  <si>
    <t>150</t>
  </si>
  <si>
    <t>4650</t>
  </si>
  <si>
    <t>лично</t>
  </si>
  <si>
    <t>Кубок Федерации
Русская становая тяга профессионалы 150 кг.
Воронеж/Воронежская область 12 - 13 октября 2019 г.</t>
  </si>
  <si>
    <t>140.0</t>
  </si>
  <si>
    <t>Кубок Федерации
Жимовое двоеборье профессионалы
Воронеж/Воронежская область 12 - 13 октября 2019 г.</t>
  </si>
  <si>
    <t>Коломыцев Сергей</t>
  </si>
  <si>
    <t>89.0</t>
  </si>
  <si>
    <t>Белгород</t>
  </si>
  <si>
    <t>Жим лежа</t>
  </si>
  <si>
    <t>Нехаев</t>
  </si>
  <si>
    <t>125.0</t>
  </si>
  <si>
    <t>132.5</t>
  </si>
  <si>
    <t>90кг</t>
  </si>
  <si>
    <t>137.5</t>
  </si>
  <si>
    <t>19</t>
  </si>
  <si>
    <t>156.5</t>
  </si>
  <si>
    <t>112.4</t>
  </si>
  <si>
    <t>Стальное звено</t>
  </si>
  <si>
    <t>Кубок Федерации
Жимовое двоеборье любители
Воронеж/Воронежская область 12 - 13 октября 2019 г.</t>
  </si>
  <si>
    <t>185</t>
  </si>
  <si>
    <t>192.5</t>
  </si>
  <si>
    <t>195</t>
  </si>
  <si>
    <t>20</t>
  </si>
  <si>
    <t>215</t>
  </si>
  <si>
    <t>Лично</t>
  </si>
  <si>
    <t>Беглов Ю.М.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</si>
</sst>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6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10</v>
      </c>
      <c r="C3" s="54" t="s">
        <v>11</v>
      </c>
      <c r="D3" s="42" t="s">
        <v>9</v>
      </c>
      <c r="E3" s="56" t="s">
        <v>7</v>
      </c>
      <c r="F3" s="56" t="s">
        <v>12</v>
      </c>
      <c r="G3" s="56" t="s">
        <v>1</v>
      </c>
      <c r="H3" s="56"/>
      <c r="I3" s="56"/>
      <c r="J3" s="56"/>
      <c r="K3" s="56" t="s">
        <v>2</v>
      </c>
      <c r="L3" s="56"/>
      <c r="M3" s="56"/>
      <c r="N3" s="56"/>
      <c r="O3" s="56" t="s">
        <v>3</v>
      </c>
      <c r="P3" s="56"/>
      <c r="Q3" s="56"/>
      <c r="R3" s="56"/>
      <c r="S3" s="42" t="s">
        <v>4</v>
      </c>
      <c r="T3" s="42" t="s">
        <v>6</v>
      </c>
      <c r="U3" s="44" t="s">
        <v>5</v>
      </c>
    </row>
    <row r="4" spans="1:21" s="1" customFormat="1" ht="21" customHeight="1" thickBot="1">
      <c r="A4" s="53"/>
      <c r="B4" s="55"/>
      <c r="C4" s="55"/>
      <c r="D4" s="43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8">
        <v>1</v>
      </c>
      <c r="P4" s="8">
        <v>2</v>
      </c>
      <c r="Q4" s="8">
        <v>3</v>
      </c>
      <c r="R4" s="8" t="s">
        <v>8</v>
      </c>
      <c r="S4" s="43"/>
      <c r="T4" s="43"/>
      <c r="U4" s="45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9" sqref="D14:F1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8.375" style="4" bestFit="1" customWidth="1"/>
    <col min="4" max="4" width="9.25390625" style="4" bestFit="1" customWidth="1"/>
    <col min="5" max="5" width="22.75390625" style="4" bestFit="1" customWidth="1"/>
    <col min="6" max="6" width="33.1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5.875" style="4" bestFit="1" customWidth="1"/>
    <col min="18" max="16384" width="9.125" style="3" customWidth="1"/>
  </cols>
  <sheetData>
    <row r="1" spans="1:17" s="2" customFormat="1" ht="28.5" customHeight="1">
      <c r="A1" s="58" t="s">
        <v>484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485</v>
      </c>
      <c r="H3" s="56"/>
      <c r="I3" s="56"/>
      <c r="J3" s="56"/>
      <c r="K3" s="56" t="s">
        <v>344</v>
      </c>
      <c r="L3" s="56"/>
      <c r="M3" s="56"/>
      <c r="N3" s="56"/>
      <c r="O3" s="56" t="s">
        <v>4</v>
      </c>
      <c r="P3" s="56" t="s">
        <v>6</v>
      </c>
      <c r="Q3" s="44" t="s">
        <v>5</v>
      </c>
    </row>
    <row r="4" spans="1:17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55"/>
      <c r="P4" s="55"/>
      <c r="Q4" s="45"/>
    </row>
    <row r="5" spans="1:16" ht="1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2.75">
      <c r="A6" s="9" t="s">
        <v>487</v>
      </c>
      <c r="B6" s="9" t="s">
        <v>488</v>
      </c>
      <c r="C6" s="9" t="s">
        <v>489</v>
      </c>
      <c r="D6" s="9" t="str">
        <f>"0,8213"</f>
        <v>0,8213</v>
      </c>
      <c r="E6" s="9" t="s">
        <v>120</v>
      </c>
      <c r="F6" s="9" t="s">
        <v>490</v>
      </c>
      <c r="G6" s="11" t="s">
        <v>121</v>
      </c>
      <c r="H6" s="11" t="s">
        <v>374</v>
      </c>
      <c r="I6" s="10" t="s">
        <v>122</v>
      </c>
      <c r="J6" s="10"/>
      <c r="K6" s="11" t="s">
        <v>351</v>
      </c>
      <c r="L6" s="11" t="s">
        <v>373</v>
      </c>
      <c r="M6" s="11" t="s">
        <v>122</v>
      </c>
      <c r="N6" s="10"/>
      <c r="O6" s="9" t="str">
        <f>"117,5"</f>
        <v>117,5</v>
      </c>
      <c r="P6" s="11" t="str">
        <f>"96,5028"</f>
        <v>96,5028</v>
      </c>
      <c r="Q6" s="9" t="s">
        <v>26</v>
      </c>
    </row>
    <row r="8" spans="1:16" ht="15">
      <c r="A8" s="59" t="s">
        <v>139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12.75">
      <c r="A9" s="9" t="s">
        <v>491</v>
      </c>
      <c r="B9" s="9" t="s">
        <v>394</v>
      </c>
      <c r="C9" s="9" t="s">
        <v>492</v>
      </c>
      <c r="D9" s="9" t="str">
        <f>"0,6774"</f>
        <v>0,6774</v>
      </c>
      <c r="E9" s="9" t="s">
        <v>88</v>
      </c>
      <c r="F9" s="9" t="s">
        <v>89</v>
      </c>
      <c r="G9" s="11" t="s">
        <v>121</v>
      </c>
      <c r="H9" s="11" t="s">
        <v>122</v>
      </c>
      <c r="I9" s="11" t="s">
        <v>123</v>
      </c>
      <c r="J9" s="10"/>
      <c r="K9" s="11" t="s">
        <v>351</v>
      </c>
      <c r="L9" s="11" t="s">
        <v>121</v>
      </c>
      <c r="M9" s="10" t="s">
        <v>374</v>
      </c>
      <c r="N9" s="10"/>
      <c r="O9" s="9" t="str">
        <f>"117,5"</f>
        <v>117,5</v>
      </c>
      <c r="P9" s="11" t="str">
        <f>"79,5945"</f>
        <v>79,5945</v>
      </c>
      <c r="Q9" s="9" t="s">
        <v>147</v>
      </c>
    </row>
    <row r="11" spans="1:16" ht="15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12.75">
      <c r="A12" s="9" t="s">
        <v>494</v>
      </c>
      <c r="B12" s="9" t="s">
        <v>495</v>
      </c>
      <c r="C12" s="9" t="s">
        <v>496</v>
      </c>
      <c r="D12" s="9" t="str">
        <f>"0,5943"</f>
        <v>0,5943</v>
      </c>
      <c r="E12" s="9" t="s">
        <v>88</v>
      </c>
      <c r="F12" s="9" t="s">
        <v>22</v>
      </c>
      <c r="G12" s="11" t="s">
        <v>497</v>
      </c>
      <c r="H12" s="11" t="s">
        <v>137</v>
      </c>
      <c r="I12" s="11" t="s">
        <v>498</v>
      </c>
      <c r="J12" s="10"/>
      <c r="K12" s="11" t="s">
        <v>123</v>
      </c>
      <c r="L12" s="11" t="s">
        <v>388</v>
      </c>
      <c r="M12" s="10" t="s">
        <v>412</v>
      </c>
      <c r="N12" s="10"/>
      <c r="O12" s="9" t="str">
        <f>"152,5"</f>
        <v>152,5</v>
      </c>
      <c r="P12" s="11" t="str">
        <f>"90,6307"</f>
        <v>90,6307</v>
      </c>
      <c r="Q12" s="9" t="s">
        <v>26</v>
      </c>
    </row>
    <row r="14" spans="5:6" ht="15">
      <c r="E14" s="18" t="s">
        <v>51</v>
      </c>
      <c r="F14" s="35" t="s">
        <v>613</v>
      </c>
    </row>
    <row r="15" spans="5:6" ht="15">
      <c r="E15" s="18" t="s">
        <v>52</v>
      </c>
      <c r="F15" s="35" t="s">
        <v>614</v>
      </c>
    </row>
    <row r="16" spans="5:6" ht="15">
      <c r="E16" s="18" t="s">
        <v>53</v>
      </c>
      <c r="F16" s="35" t="s">
        <v>615</v>
      </c>
    </row>
    <row r="17" spans="5:6" ht="15">
      <c r="E17" s="18" t="s">
        <v>54</v>
      </c>
      <c r="F17" s="35" t="s">
        <v>616</v>
      </c>
    </row>
    <row r="18" spans="5:6" ht="15">
      <c r="E18" s="18" t="s">
        <v>54</v>
      </c>
      <c r="F18" s="35" t="s">
        <v>617</v>
      </c>
    </row>
    <row r="19" spans="5:6" ht="15">
      <c r="E19" s="18" t="s">
        <v>55</v>
      </c>
      <c r="F19" s="35" t="s">
        <v>618</v>
      </c>
    </row>
    <row r="20" ht="15">
      <c r="E20" s="18"/>
    </row>
    <row r="22" spans="1:2" ht="18">
      <c r="A22" s="19" t="s">
        <v>56</v>
      </c>
      <c r="B22" s="19"/>
    </row>
    <row r="23" spans="1:2" ht="15">
      <c r="A23" s="20" t="s">
        <v>57</v>
      </c>
      <c r="B23" s="20"/>
    </row>
    <row r="24" spans="1:2" ht="14.25">
      <c r="A24" s="22"/>
      <c r="B24" s="23" t="s">
        <v>58</v>
      </c>
    </row>
    <row r="25" spans="1:5" ht="15">
      <c r="A25" s="24" t="s">
        <v>59</v>
      </c>
      <c r="B25" s="24" t="s">
        <v>60</v>
      </c>
      <c r="C25" s="24" t="s">
        <v>61</v>
      </c>
      <c r="D25" s="24" t="s">
        <v>62</v>
      </c>
      <c r="E25" s="24" t="s">
        <v>63</v>
      </c>
    </row>
    <row r="26" spans="1:5" ht="12.75">
      <c r="A26" s="21" t="s">
        <v>486</v>
      </c>
      <c r="B26" s="4" t="s">
        <v>58</v>
      </c>
      <c r="C26" s="4" t="s">
        <v>111</v>
      </c>
      <c r="D26" s="4" t="s">
        <v>284</v>
      </c>
      <c r="E26" s="25" t="s">
        <v>499</v>
      </c>
    </row>
    <row r="27" spans="1:5" ht="12.75">
      <c r="A27" s="21" t="s">
        <v>493</v>
      </c>
      <c r="B27" s="4" t="s">
        <v>58</v>
      </c>
      <c r="C27" s="4" t="s">
        <v>66</v>
      </c>
      <c r="D27" s="4" t="s">
        <v>500</v>
      </c>
      <c r="E27" s="25" t="s">
        <v>501</v>
      </c>
    </row>
    <row r="28" spans="1:5" ht="12.75">
      <c r="A28" s="21" t="s">
        <v>392</v>
      </c>
      <c r="B28" s="4" t="s">
        <v>58</v>
      </c>
      <c r="C28" s="4" t="s">
        <v>217</v>
      </c>
      <c r="D28" s="4" t="s">
        <v>284</v>
      </c>
      <c r="E28" s="25" t="s">
        <v>502</v>
      </c>
    </row>
    <row r="33" spans="1:2" ht="18">
      <c r="A33" s="19" t="s">
        <v>74</v>
      </c>
      <c r="B33" s="19"/>
    </row>
    <row r="34" spans="1:3" ht="15">
      <c r="A34" s="24" t="s">
        <v>75</v>
      </c>
      <c r="B34" s="24" t="s">
        <v>76</v>
      </c>
      <c r="C34" s="24" t="s">
        <v>77</v>
      </c>
    </row>
    <row r="35" spans="1:3" ht="12.75">
      <c r="A35" s="4" t="s">
        <v>88</v>
      </c>
      <c r="B35" s="4" t="s">
        <v>232</v>
      </c>
      <c r="C35" s="4" t="s">
        <v>503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I21" sqref="F15:I21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9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1.00390625" style="4" bestFit="1" customWidth="1"/>
    <col min="14" max="16384" width="9.125" style="3" customWidth="1"/>
  </cols>
  <sheetData>
    <row r="1" spans="1:13" s="2" customFormat="1" ht="28.5" customHeight="1">
      <c r="A1" s="58" t="s">
        <v>453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344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455</v>
      </c>
      <c r="B6" s="9" t="s">
        <v>456</v>
      </c>
      <c r="C6" s="9" t="s">
        <v>457</v>
      </c>
      <c r="D6" s="9" t="str">
        <f>"1,3133"</f>
        <v>1,3133</v>
      </c>
      <c r="E6" s="9" t="s">
        <v>88</v>
      </c>
      <c r="F6" s="9" t="s">
        <v>89</v>
      </c>
      <c r="G6" s="11" t="s">
        <v>458</v>
      </c>
      <c r="H6" s="11" t="s">
        <v>459</v>
      </c>
      <c r="I6" s="10" t="s">
        <v>460</v>
      </c>
      <c r="J6" s="10"/>
      <c r="K6" s="9" t="str">
        <f>"12,5"</f>
        <v>12,5</v>
      </c>
      <c r="L6" s="11" t="str">
        <f>"20,1920"</f>
        <v>20,1920</v>
      </c>
      <c r="M6" s="9" t="s">
        <v>147</v>
      </c>
    </row>
    <row r="8" spans="1:12" ht="15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12" t="s">
        <v>462</v>
      </c>
      <c r="B9" s="12" t="s">
        <v>463</v>
      </c>
      <c r="C9" s="12" t="s">
        <v>464</v>
      </c>
      <c r="D9" s="12" t="str">
        <f>"0,6036"</f>
        <v>0,6036</v>
      </c>
      <c r="E9" s="12" t="s">
        <v>465</v>
      </c>
      <c r="F9" s="12" t="s">
        <v>22</v>
      </c>
      <c r="G9" s="14" t="s">
        <v>374</v>
      </c>
      <c r="H9" s="14" t="s">
        <v>123</v>
      </c>
      <c r="I9" s="13" t="s">
        <v>388</v>
      </c>
      <c r="J9" s="13"/>
      <c r="K9" s="12" t="str">
        <f>"62,5"</f>
        <v>62,5</v>
      </c>
      <c r="L9" s="14" t="str">
        <f>"38,8568"</f>
        <v>38,8568</v>
      </c>
      <c r="M9" s="12" t="s">
        <v>466</v>
      </c>
    </row>
    <row r="10" spans="1:13" ht="12.75">
      <c r="A10" s="15" t="s">
        <v>468</v>
      </c>
      <c r="B10" s="15" t="s">
        <v>469</v>
      </c>
      <c r="C10" s="15" t="s">
        <v>470</v>
      </c>
      <c r="D10" s="15" t="str">
        <f>"0,6055"</f>
        <v>0,6055</v>
      </c>
      <c r="E10" s="15" t="s">
        <v>120</v>
      </c>
      <c r="F10" s="15" t="s">
        <v>22</v>
      </c>
      <c r="G10" s="17" t="s">
        <v>412</v>
      </c>
      <c r="H10" s="17" t="s">
        <v>109</v>
      </c>
      <c r="I10" s="17" t="s">
        <v>130</v>
      </c>
      <c r="J10" s="16"/>
      <c r="K10" s="15" t="str">
        <f>"72,5"</f>
        <v>72,5</v>
      </c>
      <c r="L10" s="17" t="str">
        <f>"44,2938"</f>
        <v>44,2938</v>
      </c>
      <c r="M10" s="15" t="s">
        <v>26</v>
      </c>
    </row>
    <row r="12" spans="1:12" ht="15">
      <c r="A12" s="59" t="s">
        <v>471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2.75">
      <c r="A13" s="9" t="s">
        <v>473</v>
      </c>
      <c r="B13" s="9" t="s">
        <v>474</v>
      </c>
      <c r="C13" s="9" t="s">
        <v>475</v>
      </c>
      <c r="D13" s="9" t="str">
        <f>"0,5138"</f>
        <v>0,5138</v>
      </c>
      <c r="E13" s="9" t="s">
        <v>88</v>
      </c>
      <c r="F13" s="9" t="s">
        <v>22</v>
      </c>
      <c r="G13" s="11" t="s">
        <v>121</v>
      </c>
      <c r="H13" s="11" t="s">
        <v>388</v>
      </c>
      <c r="I13" s="11" t="s">
        <v>110</v>
      </c>
      <c r="J13" s="10"/>
      <c r="K13" s="9" t="str">
        <f>"75,0"</f>
        <v>75,0</v>
      </c>
      <c r="L13" s="11" t="str">
        <f>"38,5350"</f>
        <v>38,5350</v>
      </c>
      <c r="M13" s="9" t="s">
        <v>26</v>
      </c>
    </row>
    <row r="15" spans="6:7" ht="15">
      <c r="F15" s="18" t="s">
        <v>51</v>
      </c>
      <c r="G15" s="35" t="s">
        <v>613</v>
      </c>
    </row>
    <row r="16" spans="6:7" ht="15">
      <c r="F16" s="18" t="s">
        <v>52</v>
      </c>
      <c r="G16" s="35" t="s">
        <v>614</v>
      </c>
    </row>
    <row r="17" spans="6:7" ht="15">
      <c r="F17" s="18" t="s">
        <v>53</v>
      </c>
      <c r="G17" s="35" t="s">
        <v>615</v>
      </c>
    </row>
    <row r="18" spans="6:7" ht="15">
      <c r="F18" s="18" t="s">
        <v>54</v>
      </c>
      <c r="G18" s="35" t="s">
        <v>616</v>
      </c>
    </row>
    <row r="19" spans="6:7" ht="15">
      <c r="F19" s="18" t="s">
        <v>54</v>
      </c>
      <c r="G19" s="35" t="s">
        <v>617</v>
      </c>
    </row>
    <row r="20" spans="6:7" ht="15">
      <c r="F20" s="18" t="s">
        <v>55</v>
      </c>
      <c r="G20" s="35" t="s">
        <v>618</v>
      </c>
    </row>
    <row r="21" ht="15">
      <c r="E21" s="18"/>
    </row>
    <row r="23" spans="1:2" ht="18">
      <c r="A23" s="19" t="s">
        <v>56</v>
      </c>
      <c r="B23" s="19"/>
    </row>
    <row r="24" spans="1:2" ht="15">
      <c r="A24" s="20" t="s">
        <v>57</v>
      </c>
      <c r="B24" s="20"/>
    </row>
    <row r="25" spans="1:2" ht="14.25">
      <c r="A25" s="22"/>
      <c r="B25" s="23" t="s">
        <v>337</v>
      </c>
    </row>
    <row r="26" spans="1:5" ht="15">
      <c r="A26" s="24" t="s">
        <v>59</v>
      </c>
      <c r="B26" s="24" t="s">
        <v>60</v>
      </c>
      <c r="C26" s="24" t="s">
        <v>61</v>
      </c>
      <c r="D26" s="24" t="s">
        <v>62</v>
      </c>
      <c r="E26" s="24" t="s">
        <v>63</v>
      </c>
    </row>
    <row r="27" spans="1:5" ht="12.75">
      <c r="A27" s="21" t="s">
        <v>454</v>
      </c>
      <c r="B27" s="4" t="s">
        <v>476</v>
      </c>
      <c r="C27" s="4" t="s">
        <v>210</v>
      </c>
      <c r="D27" s="4" t="s">
        <v>459</v>
      </c>
      <c r="E27" s="25" t="s">
        <v>477</v>
      </c>
    </row>
    <row r="29" spans="1:2" ht="14.25">
      <c r="A29" s="22"/>
      <c r="B29" s="23" t="s">
        <v>434</v>
      </c>
    </row>
    <row r="30" spans="1:5" ht="15">
      <c r="A30" s="24" t="s">
        <v>59</v>
      </c>
      <c r="B30" s="24" t="s">
        <v>60</v>
      </c>
      <c r="C30" s="24" t="s">
        <v>61</v>
      </c>
      <c r="D30" s="24" t="s">
        <v>62</v>
      </c>
      <c r="E30" s="24" t="s">
        <v>63</v>
      </c>
    </row>
    <row r="31" spans="1:5" ht="12.75">
      <c r="A31" s="21" t="s">
        <v>461</v>
      </c>
      <c r="B31" s="4" t="s">
        <v>209</v>
      </c>
      <c r="C31" s="4" t="s">
        <v>66</v>
      </c>
      <c r="D31" s="4" t="s">
        <v>123</v>
      </c>
      <c r="E31" s="25" t="s">
        <v>478</v>
      </c>
    </row>
    <row r="33" spans="1:2" ht="14.25">
      <c r="A33" s="22"/>
      <c r="B33" s="23" t="s">
        <v>58</v>
      </c>
    </row>
    <row r="34" spans="1:5" ht="15">
      <c r="A34" s="24" t="s">
        <v>59</v>
      </c>
      <c r="B34" s="24" t="s">
        <v>60</v>
      </c>
      <c r="C34" s="24" t="s">
        <v>61</v>
      </c>
      <c r="D34" s="24" t="s">
        <v>62</v>
      </c>
      <c r="E34" s="24" t="s">
        <v>63</v>
      </c>
    </row>
    <row r="35" spans="1:5" ht="12.75">
      <c r="A35" s="21" t="s">
        <v>472</v>
      </c>
      <c r="B35" s="4" t="s">
        <v>58</v>
      </c>
      <c r="C35" s="4" t="s">
        <v>479</v>
      </c>
      <c r="D35" s="4" t="s">
        <v>110</v>
      </c>
      <c r="E35" s="25" t="s">
        <v>480</v>
      </c>
    </row>
    <row r="37" spans="1:2" ht="14.25">
      <c r="A37" s="22"/>
      <c r="B37" s="23" t="s">
        <v>68</v>
      </c>
    </row>
    <row r="38" spans="1:5" ht="15">
      <c r="A38" s="24" t="s">
        <v>59</v>
      </c>
      <c r="B38" s="24" t="s">
        <v>60</v>
      </c>
      <c r="C38" s="24" t="s">
        <v>61</v>
      </c>
      <c r="D38" s="24" t="s">
        <v>62</v>
      </c>
      <c r="E38" s="24" t="s">
        <v>63</v>
      </c>
    </row>
    <row r="39" spans="1:5" ht="12.75">
      <c r="A39" s="21" t="s">
        <v>467</v>
      </c>
      <c r="B39" s="4" t="s">
        <v>99</v>
      </c>
      <c r="C39" s="4" t="s">
        <v>66</v>
      </c>
      <c r="D39" s="4" t="s">
        <v>130</v>
      </c>
      <c r="E39" s="25" t="s">
        <v>481</v>
      </c>
    </row>
    <row r="44" spans="1:2" ht="18">
      <c r="A44" s="19" t="s">
        <v>74</v>
      </c>
      <c r="B44" s="19"/>
    </row>
    <row r="45" spans="1:3" ht="15">
      <c r="A45" s="24" t="s">
        <v>75</v>
      </c>
      <c r="B45" s="24" t="s">
        <v>76</v>
      </c>
      <c r="C45" s="24" t="s">
        <v>77</v>
      </c>
    </row>
    <row r="46" spans="1:3" ht="12.75">
      <c r="A46" s="4" t="s">
        <v>88</v>
      </c>
      <c r="B46" s="4" t="s">
        <v>232</v>
      </c>
      <c r="C46" s="4" t="s">
        <v>482</v>
      </c>
    </row>
    <row r="47" spans="1:3" ht="12.75">
      <c r="A47" s="4" t="s">
        <v>465</v>
      </c>
      <c r="B47" s="4" t="s">
        <v>80</v>
      </c>
      <c r="C47" s="4" t="s">
        <v>483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3">
      <selection activeCell="E33" sqref="E33:H3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8.75390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9.25390625" style="4" bestFit="1" customWidth="1"/>
    <col min="14" max="16384" width="9.125" style="3" customWidth="1"/>
  </cols>
  <sheetData>
    <row r="1" spans="1:13" s="2" customFormat="1" ht="28.5" customHeight="1">
      <c r="A1" s="58" t="s">
        <v>343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344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12" t="s">
        <v>346</v>
      </c>
      <c r="B6" s="12" t="s">
        <v>347</v>
      </c>
      <c r="C6" s="12" t="s">
        <v>348</v>
      </c>
      <c r="D6" s="12" t="str">
        <f>"0,7814"</f>
        <v>0,7814</v>
      </c>
      <c r="E6" s="12" t="s">
        <v>21</v>
      </c>
      <c r="F6" s="12" t="s">
        <v>22</v>
      </c>
      <c r="G6" s="14" t="s">
        <v>349</v>
      </c>
      <c r="H6" s="14" t="s">
        <v>350</v>
      </c>
      <c r="I6" s="13" t="s">
        <v>351</v>
      </c>
      <c r="J6" s="13"/>
      <c r="K6" s="12" t="str">
        <f>"47,5"</f>
        <v>47,5</v>
      </c>
      <c r="L6" s="14" t="str">
        <f>"43,7975"</f>
        <v>43,7975</v>
      </c>
      <c r="M6" s="12" t="s">
        <v>26</v>
      </c>
    </row>
    <row r="7" spans="1:13" ht="12.75">
      <c r="A7" s="26" t="s">
        <v>353</v>
      </c>
      <c r="B7" s="26" t="s">
        <v>354</v>
      </c>
      <c r="C7" s="26" t="s">
        <v>355</v>
      </c>
      <c r="D7" s="26" t="str">
        <f>"0,7535"</f>
        <v>0,7535</v>
      </c>
      <c r="E7" s="26" t="s">
        <v>120</v>
      </c>
      <c r="F7" s="26" t="s">
        <v>22</v>
      </c>
      <c r="G7" s="28" t="s">
        <v>356</v>
      </c>
      <c r="H7" s="27" t="s">
        <v>357</v>
      </c>
      <c r="I7" s="28" t="s">
        <v>357</v>
      </c>
      <c r="J7" s="27"/>
      <c r="K7" s="26" t="str">
        <f>"40,0"</f>
        <v>40,0</v>
      </c>
      <c r="L7" s="28" t="str">
        <f>"34,0582"</f>
        <v>34,0582</v>
      </c>
      <c r="M7" s="26" t="s">
        <v>358</v>
      </c>
    </row>
    <row r="8" spans="1:13" ht="12.75">
      <c r="A8" s="26" t="s">
        <v>359</v>
      </c>
      <c r="B8" s="26" t="s">
        <v>360</v>
      </c>
      <c r="C8" s="26" t="s">
        <v>361</v>
      </c>
      <c r="D8" s="26" t="str">
        <f>"0,7258"</f>
        <v>0,7258</v>
      </c>
      <c r="E8" s="26" t="s">
        <v>120</v>
      </c>
      <c r="F8" s="26" t="s">
        <v>362</v>
      </c>
      <c r="G8" s="27"/>
      <c r="H8" s="27"/>
      <c r="I8" s="27"/>
      <c r="J8" s="27"/>
      <c r="K8" s="26" t="str">
        <f>"0.00"</f>
        <v>0.00</v>
      </c>
      <c r="L8" s="28" t="str">
        <f>"0,0000"</f>
        <v>0,0000</v>
      </c>
      <c r="M8" s="26" t="s">
        <v>363</v>
      </c>
    </row>
    <row r="9" spans="1:13" ht="12.75">
      <c r="A9" s="15" t="s">
        <v>364</v>
      </c>
      <c r="B9" s="15" t="s">
        <v>365</v>
      </c>
      <c r="C9" s="15" t="s">
        <v>361</v>
      </c>
      <c r="D9" s="15" t="str">
        <f>"0,7258"</f>
        <v>0,7258</v>
      </c>
      <c r="E9" s="15" t="s">
        <v>366</v>
      </c>
      <c r="F9" s="15" t="s">
        <v>367</v>
      </c>
      <c r="G9" s="16"/>
      <c r="H9" s="16"/>
      <c r="I9" s="16"/>
      <c r="J9" s="16"/>
      <c r="K9" s="15" t="str">
        <f>"0.00"</f>
        <v>0.00</v>
      </c>
      <c r="L9" s="17" t="str">
        <f>"0,0000"</f>
        <v>0,0000</v>
      </c>
      <c r="M9" s="15" t="s">
        <v>26</v>
      </c>
    </row>
    <row r="11" spans="1:12" ht="15">
      <c r="A11" s="59" t="s">
        <v>139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12" t="s">
        <v>369</v>
      </c>
      <c r="B12" s="12" t="s">
        <v>370</v>
      </c>
      <c r="C12" s="12" t="s">
        <v>371</v>
      </c>
      <c r="D12" s="12" t="str">
        <f>"0,6805"</f>
        <v>0,6805</v>
      </c>
      <c r="E12" s="12" t="s">
        <v>372</v>
      </c>
      <c r="F12" s="12" t="s">
        <v>362</v>
      </c>
      <c r="G12" s="14" t="s">
        <v>373</v>
      </c>
      <c r="H12" s="14" t="s">
        <v>374</v>
      </c>
      <c r="I12" s="13" t="s">
        <v>122</v>
      </c>
      <c r="J12" s="13"/>
      <c r="K12" s="12" t="str">
        <f>"57,5"</f>
        <v>57,5</v>
      </c>
      <c r="L12" s="14" t="str">
        <f>"41,4765"</f>
        <v>41,4765</v>
      </c>
      <c r="M12" s="12" t="s">
        <v>363</v>
      </c>
    </row>
    <row r="13" spans="1:13" ht="12.75">
      <c r="A13" s="26" t="s">
        <v>376</v>
      </c>
      <c r="B13" s="26" t="s">
        <v>377</v>
      </c>
      <c r="C13" s="26" t="s">
        <v>378</v>
      </c>
      <c r="D13" s="26" t="str">
        <f>"0,6914"</f>
        <v>0,6914</v>
      </c>
      <c r="E13" s="26" t="s">
        <v>21</v>
      </c>
      <c r="F13" s="26" t="s">
        <v>367</v>
      </c>
      <c r="G13" s="28" t="s">
        <v>121</v>
      </c>
      <c r="H13" s="28" t="s">
        <v>122</v>
      </c>
      <c r="I13" s="27" t="s">
        <v>123</v>
      </c>
      <c r="J13" s="27"/>
      <c r="K13" s="26" t="str">
        <f>"60,0"</f>
        <v>60,0</v>
      </c>
      <c r="L13" s="28" t="str">
        <f>"41,8988"</f>
        <v>41,8988</v>
      </c>
      <c r="M13" s="26" t="s">
        <v>26</v>
      </c>
    </row>
    <row r="14" spans="1:13" ht="12.75">
      <c r="A14" s="26" t="s">
        <v>380</v>
      </c>
      <c r="B14" s="26" t="s">
        <v>381</v>
      </c>
      <c r="C14" s="26" t="s">
        <v>382</v>
      </c>
      <c r="D14" s="26" t="str">
        <f>"0,6859"</f>
        <v>0,6859</v>
      </c>
      <c r="E14" s="26" t="s">
        <v>120</v>
      </c>
      <c r="F14" s="26" t="s">
        <v>22</v>
      </c>
      <c r="G14" s="28" t="s">
        <v>373</v>
      </c>
      <c r="H14" s="28" t="s">
        <v>121</v>
      </c>
      <c r="I14" s="28" t="s">
        <v>374</v>
      </c>
      <c r="J14" s="27"/>
      <c r="K14" s="26" t="str">
        <f>"57,5"</f>
        <v>57,5</v>
      </c>
      <c r="L14" s="28" t="str">
        <f>"40,6224"</f>
        <v>40,6224</v>
      </c>
      <c r="M14" s="26" t="s">
        <v>26</v>
      </c>
    </row>
    <row r="15" spans="1:13" ht="12.75">
      <c r="A15" s="26" t="s">
        <v>384</v>
      </c>
      <c r="B15" s="26" t="s">
        <v>385</v>
      </c>
      <c r="C15" s="26" t="s">
        <v>386</v>
      </c>
      <c r="D15" s="26" t="str">
        <f>"0,6812"</f>
        <v>0,6812</v>
      </c>
      <c r="E15" s="26" t="s">
        <v>120</v>
      </c>
      <c r="F15" s="26" t="s">
        <v>387</v>
      </c>
      <c r="G15" s="28" t="s">
        <v>373</v>
      </c>
      <c r="H15" s="28" t="s">
        <v>122</v>
      </c>
      <c r="I15" s="28" t="s">
        <v>388</v>
      </c>
      <c r="J15" s="27"/>
      <c r="K15" s="26" t="str">
        <f>"65,0"</f>
        <v>65,0</v>
      </c>
      <c r="L15" s="28" t="str">
        <f>"44,2780"</f>
        <v>44,2780</v>
      </c>
      <c r="M15" s="26" t="s">
        <v>26</v>
      </c>
    </row>
    <row r="16" spans="1:13" ht="12.75">
      <c r="A16" s="26" t="s">
        <v>389</v>
      </c>
      <c r="B16" s="26" t="s">
        <v>142</v>
      </c>
      <c r="C16" s="26" t="s">
        <v>143</v>
      </c>
      <c r="D16" s="26" t="str">
        <f>"0,6767"</f>
        <v>0,6767</v>
      </c>
      <c r="E16" s="26" t="s">
        <v>88</v>
      </c>
      <c r="F16" s="26" t="s">
        <v>89</v>
      </c>
      <c r="G16" s="28" t="s">
        <v>373</v>
      </c>
      <c r="H16" s="28" t="s">
        <v>374</v>
      </c>
      <c r="I16" s="28" t="s">
        <v>123</v>
      </c>
      <c r="J16" s="27"/>
      <c r="K16" s="26" t="str">
        <f>"62,5"</f>
        <v>62,5</v>
      </c>
      <c r="L16" s="28" t="str">
        <f>"42,2937"</f>
        <v>42,2937</v>
      </c>
      <c r="M16" s="26" t="s">
        <v>147</v>
      </c>
    </row>
    <row r="17" spans="1:13" ht="12.75">
      <c r="A17" s="26" t="s">
        <v>390</v>
      </c>
      <c r="B17" s="26" t="s">
        <v>391</v>
      </c>
      <c r="C17" s="26" t="s">
        <v>382</v>
      </c>
      <c r="D17" s="26" t="str">
        <f>"0,6859"</f>
        <v>0,6859</v>
      </c>
      <c r="E17" s="26" t="s">
        <v>120</v>
      </c>
      <c r="F17" s="26" t="s">
        <v>22</v>
      </c>
      <c r="G17" s="28" t="s">
        <v>373</v>
      </c>
      <c r="H17" s="28" t="s">
        <v>121</v>
      </c>
      <c r="I17" s="28" t="s">
        <v>374</v>
      </c>
      <c r="J17" s="27"/>
      <c r="K17" s="26" t="str">
        <f>"57,5"</f>
        <v>57,5</v>
      </c>
      <c r="L17" s="28" t="str">
        <f>"39,4392"</f>
        <v>39,4392</v>
      </c>
      <c r="M17" s="26" t="s">
        <v>26</v>
      </c>
    </row>
    <row r="18" spans="1:13" ht="12.75">
      <c r="A18" s="15" t="s">
        <v>393</v>
      </c>
      <c r="B18" s="15" t="s">
        <v>394</v>
      </c>
      <c r="C18" s="15" t="s">
        <v>395</v>
      </c>
      <c r="D18" s="15" t="str">
        <f>"0,6645"</f>
        <v>0,6645</v>
      </c>
      <c r="E18" s="15" t="s">
        <v>88</v>
      </c>
      <c r="F18" s="15" t="s">
        <v>89</v>
      </c>
      <c r="G18" s="17" t="s">
        <v>351</v>
      </c>
      <c r="H18" s="17" t="s">
        <v>121</v>
      </c>
      <c r="I18" s="16" t="s">
        <v>374</v>
      </c>
      <c r="J18" s="16"/>
      <c r="K18" s="15" t="str">
        <f>"55,0"</f>
        <v>55,0</v>
      </c>
      <c r="L18" s="17" t="str">
        <f>"36,5475"</f>
        <v>36,5475</v>
      </c>
      <c r="M18" s="15" t="s">
        <v>147</v>
      </c>
    </row>
    <row r="20" spans="1:12" ht="15">
      <c r="A20" s="59" t="s">
        <v>154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3" ht="12.75">
      <c r="A21" s="12" t="s">
        <v>397</v>
      </c>
      <c r="B21" s="12" t="s">
        <v>398</v>
      </c>
      <c r="C21" s="12" t="s">
        <v>399</v>
      </c>
      <c r="D21" s="12" t="str">
        <f>"0,6517"</f>
        <v>0,6517</v>
      </c>
      <c r="E21" s="12" t="s">
        <v>120</v>
      </c>
      <c r="F21" s="12" t="s">
        <v>22</v>
      </c>
      <c r="G21" s="13" t="s">
        <v>373</v>
      </c>
      <c r="H21" s="14" t="s">
        <v>121</v>
      </c>
      <c r="I21" s="14" t="s">
        <v>123</v>
      </c>
      <c r="J21" s="13"/>
      <c r="K21" s="12" t="str">
        <f>"62,5"</f>
        <v>62,5</v>
      </c>
      <c r="L21" s="14" t="str">
        <f>"42,3605"</f>
        <v>42,3605</v>
      </c>
      <c r="M21" s="12" t="s">
        <v>26</v>
      </c>
    </row>
    <row r="22" spans="1:13" ht="12.75">
      <c r="A22" s="26" t="s">
        <v>401</v>
      </c>
      <c r="B22" s="26" t="s">
        <v>402</v>
      </c>
      <c r="C22" s="26" t="s">
        <v>403</v>
      </c>
      <c r="D22" s="26" t="str">
        <f>"0,6524"</f>
        <v>0,6524</v>
      </c>
      <c r="E22" s="26" t="s">
        <v>372</v>
      </c>
      <c r="F22" s="26" t="s">
        <v>362</v>
      </c>
      <c r="G22" s="28" t="s">
        <v>121</v>
      </c>
      <c r="H22" s="28" t="s">
        <v>123</v>
      </c>
      <c r="I22" s="27" t="s">
        <v>388</v>
      </c>
      <c r="J22" s="27"/>
      <c r="K22" s="26" t="str">
        <f>"62,5"</f>
        <v>62,5</v>
      </c>
      <c r="L22" s="28" t="str">
        <f>"41,9983"</f>
        <v>41,9983</v>
      </c>
      <c r="M22" s="26" t="s">
        <v>363</v>
      </c>
    </row>
    <row r="23" spans="1:13" ht="12.75">
      <c r="A23" s="26" t="s">
        <v>405</v>
      </c>
      <c r="B23" s="26" t="s">
        <v>406</v>
      </c>
      <c r="C23" s="26" t="s">
        <v>407</v>
      </c>
      <c r="D23" s="26" t="str">
        <f>"0,6382"</f>
        <v>0,6382</v>
      </c>
      <c r="E23" s="26" t="s">
        <v>120</v>
      </c>
      <c r="F23" s="26" t="s">
        <v>22</v>
      </c>
      <c r="G23" s="28" t="s">
        <v>121</v>
      </c>
      <c r="H23" s="27" t="s">
        <v>122</v>
      </c>
      <c r="I23" s="28" t="s">
        <v>122</v>
      </c>
      <c r="J23" s="27"/>
      <c r="K23" s="26" t="str">
        <f>"60,0"</f>
        <v>60,0</v>
      </c>
      <c r="L23" s="28" t="str">
        <f>"38,6749"</f>
        <v>38,6749</v>
      </c>
      <c r="M23" s="26" t="s">
        <v>26</v>
      </c>
    </row>
    <row r="24" spans="1:13" ht="12.75">
      <c r="A24" s="26" t="s">
        <v>409</v>
      </c>
      <c r="B24" s="26" t="s">
        <v>410</v>
      </c>
      <c r="C24" s="26" t="s">
        <v>411</v>
      </c>
      <c r="D24" s="26" t="str">
        <f>"0,6193"</f>
        <v>0,6193</v>
      </c>
      <c r="E24" s="26" t="s">
        <v>88</v>
      </c>
      <c r="F24" s="26" t="s">
        <v>89</v>
      </c>
      <c r="G24" s="28" t="s">
        <v>412</v>
      </c>
      <c r="H24" s="28" t="s">
        <v>130</v>
      </c>
      <c r="I24" s="28" t="s">
        <v>110</v>
      </c>
      <c r="J24" s="27"/>
      <c r="K24" s="26" t="str">
        <f>"75,0"</f>
        <v>75,0</v>
      </c>
      <c r="L24" s="28" t="str">
        <f>"46,4475"</f>
        <v>46,4475</v>
      </c>
      <c r="M24" s="26" t="s">
        <v>413</v>
      </c>
    </row>
    <row r="25" spans="1:13" ht="12.75">
      <c r="A25" s="26" t="s">
        <v>414</v>
      </c>
      <c r="B25" s="26" t="s">
        <v>157</v>
      </c>
      <c r="C25" s="26" t="s">
        <v>158</v>
      </c>
      <c r="D25" s="26" t="str">
        <f>"0,6347"</f>
        <v>0,6347</v>
      </c>
      <c r="E25" s="26" t="s">
        <v>21</v>
      </c>
      <c r="F25" s="26" t="s">
        <v>22</v>
      </c>
      <c r="G25" s="28" t="s">
        <v>121</v>
      </c>
      <c r="H25" s="28" t="s">
        <v>122</v>
      </c>
      <c r="I25" s="28" t="s">
        <v>388</v>
      </c>
      <c r="J25" s="27"/>
      <c r="K25" s="26" t="str">
        <f>"65,0"</f>
        <v>65,0</v>
      </c>
      <c r="L25" s="28" t="str">
        <f>"41,2555"</f>
        <v>41,2555</v>
      </c>
      <c r="M25" s="26" t="s">
        <v>159</v>
      </c>
    </row>
    <row r="26" spans="1:13" ht="12.75">
      <c r="A26" s="26" t="s">
        <v>415</v>
      </c>
      <c r="B26" s="26" t="s">
        <v>416</v>
      </c>
      <c r="C26" s="26" t="s">
        <v>399</v>
      </c>
      <c r="D26" s="26" t="str">
        <f>"0,6517"</f>
        <v>0,6517</v>
      </c>
      <c r="E26" s="26" t="s">
        <v>120</v>
      </c>
      <c r="F26" s="26" t="s">
        <v>22</v>
      </c>
      <c r="G26" s="27" t="s">
        <v>373</v>
      </c>
      <c r="H26" s="28" t="s">
        <v>121</v>
      </c>
      <c r="I26" s="28" t="s">
        <v>123</v>
      </c>
      <c r="J26" s="27"/>
      <c r="K26" s="26" t="str">
        <f>"62,5"</f>
        <v>62,5</v>
      </c>
      <c r="L26" s="28" t="str">
        <f>"40,7313"</f>
        <v>40,7313</v>
      </c>
      <c r="M26" s="26" t="s">
        <v>26</v>
      </c>
    </row>
    <row r="27" spans="1:13" ht="12.75">
      <c r="A27" s="26" t="s">
        <v>418</v>
      </c>
      <c r="B27" s="26" t="s">
        <v>419</v>
      </c>
      <c r="C27" s="26" t="s">
        <v>411</v>
      </c>
      <c r="D27" s="26" t="str">
        <f>"0,6193"</f>
        <v>0,6193</v>
      </c>
      <c r="E27" s="26" t="s">
        <v>120</v>
      </c>
      <c r="F27" s="26" t="s">
        <v>22</v>
      </c>
      <c r="G27" s="27"/>
      <c r="H27" s="27"/>
      <c r="I27" s="27"/>
      <c r="J27" s="27"/>
      <c r="K27" s="26" t="str">
        <f>"0.00"</f>
        <v>0.00</v>
      </c>
      <c r="L27" s="28" t="str">
        <f>"0,0000"</f>
        <v>0,0000</v>
      </c>
      <c r="M27" s="26" t="s">
        <v>26</v>
      </c>
    </row>
    <row r="28" spans="1:13" ht="12.75">
      <c r="A28" s="15" t="s">
        <v>421</v>
      </c>
      <c r="B28" s="15" t="s">
        <v>422</v>
      </c>
      <c r="C28" s="15" t="s">
        <v>423</v>
      </c>
      <c r="D28" s="15" t="str">
        <f>"0,6324"</f>
        <v>0,6324</v>
      </c>
      <c r="E28" s="15" t="s">
        <v>21</v>
      </c>
      <c r="F28" s="15" t="s">
        <v>22</v>
      </c>
      <c r="G28" s="16" t="s">
        <v>121</v>
      </c>
      <c r="H28" s="17" t="s">
        <v>122</v>
      </c>
      <c r="I28" s="16" t="s">
        <v>123</v>
      </c>
      <c r="J28" s="16"/>
      <c r="K28" s="15" t="str">
        <f>"60,0"</f>
        <v>60,0</v>
      </c>
      <c r="L28" s="17" t="str">
        <f>"38,0578"</f>
        <v>38,0578</v>
      </c>
      <c r="M28" s="15" t="s">
        <v>26</v>
      </c>
    </row>
    <row r="30" spans="1:12" ht="15">
      <c r="A30" s="59" t="s">
        <v>16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3" ht="12.75">
      <c r="A31" s="9" t="s">
        <v>425</v>
      </c>
      <c r="B31" s="9" t="s">
        <v>426</v>
      </c>
      <c r="C31" s="9" t="s">
        <v>427</v>
      </c>
      <c r="D31" s="9" t="str">
        <f>"0,6000"</f>
        <v>0,6000</v>
      </c>
      <c r="E31" s="9" t="s">
        <v>120</v>
      </c>
      <c r="F31" s="9" t="s">
        <v>22</v>
      </c>
      <c r="G31" s="11" t="s">
        <v>121</v>
      </c>
      <c r="H31" s="11" t="s">
        <v>123</v>
      </c>
      <c r="I31" s="10" t="s">
        <v>109</v>
      </c>
      <c r="J31" s="10"/>
      <c r="K31" s="9" t="str">
        <f>"62,5"</f>
        <v>62,5</v>
      </c>
      <c r="L31" s="11" t="str">
        <f>"38,2500"</f>
        <v>38,2500</v>
      </c>
      <c r="M31" s="9" t="s">
        <v>26</v>
      </c>
    </row>
    <row r="33" spans="5:6" ht="15">
      <c r="E33" s="18" t="s">
        <v>51</v>
      </c>
      <c r="F33" s="35" t="s">
        <v>613</v>
      </c>
    </row>
    <row r="34" spans="5:6" ht="15">
      <c r="E34" s="18" t="s">
        <v>52</v>
      </c>
      <c r="F34" s="35" t="s">
        <v>614</v>
      </c>
    </row>
    <row r="35" spans="5:6" ht="15">
      <c r="E35" s="18" t="s">
        <v>53</v>
      </c>
      <c r="F35" s="35" t="s">
        <v>615</v>
      </c>
    </row>
    <row r="36" spans="5:6" ht="15">
      <c r="E36" s="18" t="s">
        <v>54</v>
      </c>
      <c r="F36" s="35" t="s">
        <v>616</v>
      </c>
    </row>
    <row r="37" spans="5:6" ht="15">
      <c r="E37" s="18" t="s">
        <v>54</v>
      </c>
      <c r="F37" s="35" t="s">
        <v>617</v>
      </c>
    </row>
    <row r="38" spans="5:6" ht="15">
      <c r="E38" s="18" t="s">
        <v>55</v>
      </c>
      <c r="F38" s="35" t="s">
        <v>618</v>
      </c>
    </row>
    <row r="39" ht="12.75">
      <c r="F39" s="3"/>
    </row>
    <row r="41" spans="1:2" ht="18">
      <c r="A41" s="19" t="s">
        <v>56</v>
      </c>
      <c r="B41" s="19"/>
    </row>
    <row r="42" spans="1:2" ht="15">
      <c r="A42" s="20" t="s">
        <v>57</v>
      </c>
      <c r="B42" s="20"/>
    </row>
    <row r="43" spans="1:2" ht="14.25">
      <c r="A43" s="22"/>
      <c r="B43" s="23" t="s">
        <v>337</v>
      </c>
    </row>
    <row r="44" spans="1:5" ht="15">
      <c r="A44" s="24" t="s">
        <v>59</v>
      </c>
      <c r="B44" s="24" t="s">
        <v>60</v>
      </c>
      <c r="C44" s="24" t="s">
        <v>61</v>
      </c>
      <c r="D44" s="24" t="s">
        <v>62</v>
      </c>
      <c r="E44" s="24" t="s">
        <v>63</v>
      </c>
    </row>
    <row r="45" spans="1:5" ht="12.75">
      <c r="A45" s="21" t="s">
        <v>345</v>
      </c>
      <c r="B45" s="4" t="s">
        <v>428</v>
      </c>
      <c r="C45" s="4" t="s">
        <v>212</v>
      </c>
      <c r="D45" s="4" t="s">
        <v>350</v>
      </c>
      <c r="E45" s="25" t="s">
        <v>429</v>
      </c>
    </row>
    <row r="46" spans="1:5" ht="12.75">
      <c r="A46" s="21" t="s">
        <v>396</v>
      </c>
      <c r="B46" s="4" t="s">
        <v>338</v>
      </c>
      <c r="C46" s="4" t="s">
        <v>225</v>
      </c>
      <c r="D46" s="4" t="s">
        <v>123</v>
      </c>
      <c r="E46" s="25" t="s">
        <v>430</v>
      </c>
    </row>
    <row r="47" spans="1:5" ht="12.75">
      <c r="A47" s="21" t="s">
        <v>368</v>
      </c>
      <c r="B47" s="4" t="s">
        <v>338</v>
      </c>
      <c r="C47" s="4" t="s">
        <v>217</v>
      </c>
      <c r="D47" s="4" t="s">
        <v>374</v>
      </c>
      <c r="E47" s="25" t="s">
        <v>431</v>
      </c>
    </row>
    <row r="48" spans="1:5" ht="12.75">
      <c r="A48" s="21" t="s">
        <v>352</v>
      </c>
      <c r="B48" s="4" t="s">
        <v>432</v>
      </c>
      <c r="C48" s="4" t="s">
        <v>212</v>
      </c>
      <c r="D48" s="4" t="s">
        <v>357</v>
      </c>
      <c r="E48" s="25" t="s">
        <v>433</v>
      </c>
    </row>
    <row r="50" spans="1:2" ht="14.25">
      <c r="A50" s="22"/>
      <c r="B50" s="23" t="s">
        <v>434</v>
      </c>
    </row>
    <row r="51" spans="1:5" ht="15">
      <c r="A51" s="24" t="s">
        <v>59</v>
      </c>
      <c r="B51" s="24" t="s">
        <v>60</v>
      </c>
      <c r="C51" s="24" t="s">
        <v>61</v>
      </c>
      <c r="D51" s="24" t="s">
        <v>62</v>
      </c>
      <c r="E51" s="24" t="s">
        <v>63</v>
      </c>
    </row>
    <row r="52" spans="1:5" ht="12.75">
      <c r="A52" s="21" t="s">
        <v>400</v>
      </c>
      <c r="B52" s="4" t="s">
        <v>209</v>
      </c>
      <c r="C52" s="4" t="s">
        <v>225</v>
      </c>
      <c r="D52" s="4" t="s">
        <v>123</v>
      </c>
      <c r="E52" s="25" t="s">
        <v>435</v>
      </c>
    </row>
    <row r="53" spans="1:5" ht="12.75">
      <c r="A53" s="21" t="s">
        <v>375</v>
      </c>
      <c r="B53" s="4" t="s">
        <v>209</v>
      </c>
      <c r="C53" s="4" t="s">
        <v>217</v>
      </c>
      <c r="D53" s="4" t="s">
        <v>122</v>
      </c>
      <c r="E53" s="25" t="s">
        <v>436</v>
      </c>
    </row>
    <row r="54" spans="1:5" ht="12.75">
      <c r="A54" s="21" t="s">
        <v>379</v>
      </c>
      <c r="B54" s="4" t="s">
        <v>209</v>
      </c>
      <c r="C54" s="4" t="s">
        <v>217</v>
      </c>
      <c r="D54" s="4" t="s">
        <v>374</v>
      </c>
      <c r="E54" s="25" t="s">
        <v>437</v>
      </c>
    </row>
    <row r="55" spans="1:5" ht="12.75">
      <c r="A55" s="21" t="s">
        <v>404</v>
      </c>
      <c r="B55" s="4" t="s">
        <v>209</v>
      </c>
      <c r="C55" s="4" t="s">
        <v>225</v>
      </c>
      <c r="D55" s="4" t="s">
        <v>122</v>
      </c>
      <c r="E55" s="25" t="s">
        <v>438</v>
      </c>
    </row>
    <row r="56" spans="1:5" ht="12.75">
      <c r="A56" s="21" t="s">
        <v>424</v>
      </c>
      <c r="B56" s="4" t="s">
        <v>209</v>
      </c>
      <c r="C56" s="4" t="s">
        <v>66</v>
      </c>
      <c r="D56" s="4" t="s">
        <v>123</v>
      </c>
      <c r="E56" s="25" t="s">
        <v>439</v>
      </c>
    </row>
    <row r="58" spans="1:2" ht="14.25">
      <c r="A58" s="22"/>
      <c r="B58" s="23" t="s">
        <v>58</v>
      </c>
    </row>
    <row r="59" spans="1:5" ht="15">
      <c r="A59" s="24" t="s">
        <v>59</v>
      </c>
      <c r="B59" s="24" t="s">
        <v>60</v>
      </c>
      <c r="C59" s="24" t="s">
        <v>61</v>
      </c>
      <c r="D59" s="24" t="s">
        <v>62</v>
      </c>
      <c r="E59" s="24" t="s">
        <v>63</v>
      </c>
    </row>
    <row r="60" spans="1:5" ht="12.75">
      <c r="A60" s="21" t="s">
        <v>408</v>
      </c>
      <c r="B60" s="4" t="s">
        <v>58</v>
      </c>
      <c r="C60" s="4" t="s">
        <v>225</v>
      </c>
      <c r="D60" s="4" t="s">
        <v>110</v>
      </c>
      <c r="E60" s="25" t="s">
        <v>440</v>
      </c>
    </row>
    <row r="61" spans="1:5" ht="12.75">
      <c r="A61" s="21" t="s">
        <v>383</v>
      </c>
      <c r="B61" s="4" t="s">
        <v>58</v>
      </c>
      <c r="C61" s="4" t="s">
        <v>217</v>
      </c>
      <c r="D61" s="4" t="s">
        <v>388</v>
      </c>
      <c r="E61" s="25" t="s">
        <v>441</v>
      </c>
    </row>
    <row r="62" spans="1:5" ht="12.75">
      <c r="A62" s="21" t="s">
        <v>140</v>
      </c>
      <c r="B62" s="4" t="s">
        <v>58</v>
      </c>
      <c r="C62" s="4" t="s">
        <v>217</v>
      </c>
      <c r="D62" s="4" t="s">
        <v>123</v>
      </c>
      <c r="E62" s="25" t="s">
        <v>442</v>
      </c>
    </row>
    <row r="63" spans="1:5" ht="12.75">
      <c r="A63" s="21" t="s">
        <v>155</v>
      </c>
      <c r="B63" s="4" t="s">
        <v>58</v>
      </c>
      <c r="C63" s="4" t="s">
        <v>225</v>
      </c>
      <c r="D63" s="4" t="s">
        <v>388</v>
      </c>
      <c r="E63" s="25" t="s">
        <v>443</v>
      </c>
    </row>
    <row r="64" spans="1:5" ht="12.75">
      <c r="A64" s="21" t="s">
        <v>396</v>
      </c>
      <c r="B64" s="4" t="s">
        <v>58</v>
      </c>
      <c r="C64" s="4" t="s">
        <v>225</v>
      </c>
      <c r="D64" s="4" t="s">
        <v>123</v>
      </c>
      <c r="E64" s="25" t="s">
        <v>444</v>
      </c>
    </row>
    <row r="65" spans="1:5" ht="12.75">
      <c r="A65" s="21" t="s">
        <v>379</v>
      </c>
      <c r="B65" s="4" t="s">
        <v>58</v>
      </c>
      <c r="C65" s="4" t="s">
        <v>217</v>
      </c>
      <c r="D65" s="4" t="s">
        <v>374</v>
      </c>
      <c r="E65" s="25" t="s">
        <v>445</v>
      </c>
    </row>
    <row r="66" spans="1:5" ht="12.75">
      <c r="A66" s="21" t="s">
        <v>392</v>
      </c>
      <c r="B66" s="4" t="s">
        <v>58</v>
      </c>
      <c r="C66" s="4" t="s">
        <v>217</v>
      </c>
      <c r="D66" s="4" t="s">
        <v>121</v>
      </c>
      <c r="E66" s="25" t="s">
        <v>446</v>
      </c>
    </row>
    <row r="68" spans="1:2" ht="14.25">
      <c r="A68" s="22"/>
      <c r="B68" s="23" t="s">
        <v>68</v>
      </c>
    </row>
    <row r="69" spans="1:5" ht="15">
      <c r="A69" s="24" t="s">
        <v>59</v>
      </c>
      <c r="B69" s="24" t="s">
        <v>60</v>
      </c>
      <c r="C69" s="24" t="s">
        <v>61</v>
      </c>
      <c r="D69" s="24" t="s">
        <v>62</v>
      </c>
      <c r="E69" s="24" t="s">
        <v>63</v>
      </c>
    </row>
    <row r="70" spans="1:5" ht="12.75">
      <c r="A70" s="21" t="s">
        <v>420</v>
      </c>
      <c r="B70" s="4" t="s">
        <v>99</v>
      </c>
      <c r="C70" s="4" t="s">
        <v>225</v>
      </c>
      <c r="D70" s="4" t="s">
        <v>122</v>
      </c>
      <c r="E70" s="25" t="s">
        <v>447</v>
      </c>
    </row>
    <row r="75" spans="1:2" ht="18">
      <c r="A75" s="19" t="s">
        <v>74</v>
      </c>
      <c r="B75" s="19"/>
    </row>
    <row r="76" spans="1:3" ht="15">
      <c r="A76" s="24" t="s">
        <v>75</v>
      </c>
      <c r="B76" s="24" t="s">
        <v>76</v>
      </c>
      <c r="C76" s="24" t="s">
        <v>77</v>
      </c>
    </row>
    <row r="77" spans="1:3" ht="12.75">
      <c r="A77" s="4" t="s">
        <v>21</v>
      </c>
      <c r="B77" s="4" t="s">
        <v>448</v>
      </c>
      <c r="C77" s="4" t="s">
        <v>449</v>
      </c>
    </row>
    <row r="78" spans="1:3" ht="12.75">
      <c r="A78" s="4" t="s">
        <v>88</v>
      </c>
      <c r="B78" s="4" t="s">
        <v>450</v>
      </c>
      <c r="C78" s="4" t="s">
        <v>451</v>
      </c>
    </row>
    <row r="79" spans="1:3" ht="12.75">
      <c r="A79" s="4" t="s">
        <v>372</v>
      </c>
      <c r="B79" s="4" t="s">
        <v>232</v>
      </c>
      <c r="C79" s="4" t="s">
        <v>452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30:L30"/>
    <mergeCell ref="K3:K4"/>
    <mergeCell ref="L3:L4"/>
    <mergeCell ref="M3:M4"/>
    <mergeCell ref="A5:L5"/>
    <mergeCell ref="A11:L11"/>
    <mergeCell ref="A20:L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D1">
      <selection activeCell="E7" sqref="E7:H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10.375" style="3" customWidth="1"/>
    <col min="8" max="8" width="12.125" style="3" customWidth="1"/>
    <col min="9" max="9" width="12.75390625" style="3" customWidth="1"/>
    <col min="10" max="10" width="12.25390625" style="3" customWidth="1"/>
    <col min="11" max="11" width="11.25390625" style="3" customWidth="1"/>
    <col min="12" max="12" width="19.00390625" style="3" customWidth="1"/>
    <col min="13" max="13" width="9.375" style="3" customWidth="1"/>
    <col min="14" max="14" width="11.625" style="3" customWidth="1"/>
    <col min="15" max="15" width="12.00390625" style="4" customWidth="1"/>
    <col min="16" max="16" width="10.75390625" style="3" customWidth="1"/>
    <col min="17" max="17" width="13.875" style="4" customWidth="1"/>
    <col min="18" max="16384" width="9.125" style="3" customWidth="1"/>
  </cols>
  <sheetData>
    <row r="1" spans="1:17" s="2" customFormat="1" ht="28.5" customHeight="1">
      <c r="A1" s="58" t="s">
        <v>630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11</v>
      </c>
      <c r="D3" s="56"/>
      <c r="E3" s="56" t="s">
        <v>7</v>
      </c>
      <c r="F3" s="56" t="s">
        <v>12</v>
      </c>
      <c r="G3" s="56" t="s">
        <v>634</v>
      </c>
      <c r="H3" s="56"/>
      <c r="I3" s="56"/>
      <c r="J3" s="56"/>
      <c r="K3" s="56" t="s">
        <v>521</v>
      </c>
      <c r="L3" s="56"/>
      <c r="M3" s="56"/>
      <c r="N3" s="56"/>
      <c r="O3" s="56" t="s">
        <v>4</v>
      </c>
      <c r="P3" s="56" t="s">
        <v>6</v>
      </c>
      <c r="Q3" s="44" t="s">
        <v>5</v>
      </c>
    </row>
    <row r="4" spans="1:17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55"/>
      <c r="P4" s="55"/>
      <c r="Q4" s="45"/>
    </row>
    <row r="5" spans="1:17" s="1" customFormat="1" ht="21" customHeight="1">
      <c r="A5" s="1" t="s">
        <v>631</v>
      </c>
      <c r="B5" s="1" t="s">
        <v>621</v>
      </c>
      <c r="C5" s="1" t="s">
        <v>632</v>
      </c>
      <c r="E5" s="1" t="s">
        <v>623</v>
      </c>
      <c r="F5" s="1" t="s">
        <v>633</v>
      </c>
      <c r="G5" s="1" t="s">
        <v>636</v>
      </c>
      <c r="H5" s="1" t="s">
        <v>637</v>
      </c>
      <c r="I5" s="1" t="s">
        <v>639</v>
      </c>
      <c r="K5" s="1" t="s">
        <v>638</v>
      </c>
      <c r="L5" s="1" t="s">
        <v>640</v>
      </c>
      <c r="O5" s="1" t="s">
        <v>641</v>
      </c>
      <c r="Q5" s="1" t="s">
        <v>635</v>
      </c>
    </row>
    <row r="7" spans="5:6" ht="15">
      <c r="E7" s="18" t="s">
        <v>51</v>
      </c>
      <c r="F7" s="35" t="s">
        <v>613</v>
      </c>
    </row>
    <row r="8" spans="5:6" ht="15">
      <c r="E8" s="18" t="s">
        <v>52</v>
      </c>
      <c r="F8" s="35" t="s">
        <v>614</v>
      </c>
    </row>
    <row r="9" spans="5:6" ht="15">
      <c r="E9" s="18" t="s">
        <v>53</v>
      </c>
      <c r="F9" s="35" t="s">
        <v>615</v>
      </c>
    </row>
    <row r="10" spans="5:6" ht="15">
      <c r="E10" s="18" t="s">
        <v>54</v>
      </c>
      <c r="F10" s="35" t="s">
        <v>616</v>
      </c>
    </row>
    <row r="11" spans="5:6" ht="15">
      <c r="E11" s="18" t="s">
        <v>54</v>
      </c>
      <c r="F11" s="35" t="s">
        <v>617</v>
      </c>
    </row>
    <row r="12" spans="5:6" ht="15">
      <c r="E12" s="18" t="s">
        <v>55</v>
      </c>
      <c r="F12" s="35" t="s">
        <v>618</v>
      </c>
    </row>
    <row r="13" ht="12.75">
      <c r="F13" s="3"/>
    </row>
    <row r="14" ht="15">
      <c r="E14" s="18"/>
    </row>
    <row r="15" spans="1:5" ht="18">
      <c r="A15" s="19" t="s">
        <v>56</v>
      </c>
      <c r="B15" s="19"/>
      <c r="E15" s="18"/>
    </row>
    <row r="16" ht="15">
      <c r="E16" s="18"/>
    </row>
    <row r="17" ht="15">
      <c r="E17" s="18"/>
    </row>
    <row r="18" ht="15">
      <c r="E18" s="18"/>
    </row>
    <row r="19" ht="15">
      <c r="E19" s="18"/>
    </row>
  </sheetData>
  <sheetProtection/>
  <mergeCells count="12"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15" sqref="D10:F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6.00390625" style="4" customWidth="1"/>
    <col min="7" max="7" width="6.375" style="3" customWidth="1"/>
    <col min="8" max="8" width="8.125" style="3" customWidth="1"/>
    <col min="9" max="9" width="8.25390625" style="3" customWidth="1"/>
    <col min="10" max="10" width="12.625" style="3" customWidth="1"/>
    <col min="11" max="11" width="9.625" style="3" customWidth="1"/>
    <col min="12" max="12" width="6.00390625" style="3" customWidth="1"/>
    <col min="13" max="13" width="6.625" style="3" customWidth="1"/>
    <col min="14" max="14" width="2.875" style="3" customWidth="1"/>
    <col min="15" max="15" width="8.75390625" style="4" customWidth="1"/>
    <col min="16" max="16" width="7.125" style="3" customWidth="1"/>
    <col min="17" max="17" width="12.75390625" style="4" customWidth="1"/>
    <col min="18" max="16384" width="9.125" style="3" customWidth="1"/>
  </cols>
  <sheetData>
    <row r="1" spans="1:17" s="2" customFormat="1" ht="28.5" customHeight="1">
      <c r="A1" s="58" t="s">
        <v>644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11</v>
      </c>
      <c r="D3" s="56"/>
      <c r="E3" s="56" t="s">
        <v>7</v>
      </c>
      <c r="F3" s="56" t="s">
        <v>12</v>
      </c>
      <c r="G3" s="56" t="s">
        <v>634</v>
      </c>
      <c r="H3" s="56"/>
      <c r="I3" s="56"/>
      <c r="J3" s="56"/>
      <c r="K3" s="56" t="s">
        <v>521</v>
      </c>
      <c r="L3" s="56"/>
      <c r="M3" s="56"/>
      <c r="N3" s="56"/>
      <c r="O3" s="56" t="s">
        <v>4</v>
      </c>
      <c r="P3" s="56" t="s">
        <v>6</v>
      </c>
      <c r="Q3" s="44" t="s">
        <v>5</v>
      </c>
    </row>
    <row r="4" spans="1:17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55"/>
      <c r="P4" s="55"/>
      <c r="Q4" s="45"/>
    </row>
    <row r="6" spans="1:17" ht="15">
      <c r="A6" s="35" t="s">
        <v>43</v>
      </c>
      <c r="B6" s="35" t="s">
        <v>621</v>
      </c>
      <c r="C6" s="35" t="s">
        <v>642</v>
      </c>
      <c r="E6" s="18" t="s">
        <v>643</v>
      </c>
      <c r="F6" s="35" t="s">
        <v>624</v>
      </c>
      <c r="G6" s="39" t="s">
        <v>645</v>
      </c>
      <c r="H6" s="39" t="s">
        <v>646</v>
      </c>
      <c r="I6" s="39" t="s">
        <v>647</v>
      </c>
      <c r="K6" s="39" t="s">
        <v>642</v>
      </c>
      <c r="L6" s="39" t="s">
        <v>648</v>
      </c>
      <c r="O6" s="35" t="s">
        <v>649</v>
      </c>
      <c r="Q6" s="35" t="s">
        <v>650</v>
      </c>
    </row>
    <row r="7" ht="15">
      <c r="E7" s="18"/>
    </row>
    <row r="8" ht="15">
      <c r="E8" s="18"/>
    </row>
    <row r="9" ht="15">
      <c r="E9" s="18"/>
    </row>
    <row r="10" spans="5:6" ht="15">
      <c r="E10" s="18" t="s">
        <v>51</v>
      </c>
      <c r="F10" s="35" t="s">
        <v>613</v>
      </c>
    </row>
    <row r="11" spans="5:6" ht="15">
      <c r="E11" s="18" t="s">
        <v>52</v>
      </c>
      <c r="F11" s="35" t="s">
        <v>614</v>
      </c>
    </row>
    <row r="12" spans="5:6" ht="15">
      <c r="E12" s="18" t="s">
        <v>53</v>
      </c>
      <c r="F12" s="35" t="s">
        <v>615</v>
      </c>
    </row>
    <row r="13" spans="5:6" ht="15">
      <c r="E13" s="18" t="s">
        <v>54</v>
      </c>
      <c r="F13" s="35" t="s">
        <v>616</v>
      </c>
    </row>
    <row r="14" spans="1:6" ht="18">
      <c r="A14" s="19" t="s">
        <v>56</v>
      </c>
      <c r="B14" s="19"/>
      <c r="E14" s="18" t="s">
        <v>54</v>
      </c>
      <c r="F14" s="35" t="s">
        <v>617</v>
      </c>
    </row>
    <row r="15" spans="5:6" ht="15">
      <c r="E15" s="18" t="s">
        <v>55</v>
      </c>
      <c r="F15" s="35" t="s">
        <v>618</v>
      </c>
    </row>
    <row r="16" ht="12.75">
      <c r="F16" s="3"/>
    </row>
  </sheetData>
  <sheetProtection/>
  <mergeCells count="12"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E14" sqref="E14:H20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38.1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25390625" style="4" bestFit="1" customWidth="1"/>
    <col min="14" max="16384" width="9.125" style="3" customWidth="1"/>
  </cols>
  <sheetData>
    <row r="1" spans="1:13" s="2" customFormat="1" ht="28.5" customHeight="1">
      <c r="A1" s="58" t="s">
        <v>316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279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318</v>
      </c>
      <c r="B6" s="9" t="s">
        <v>319</v>
      </c>
      <c r="C6" s="9" t="s">
        <v>320</v>
      </c>
      <c r="D6" s="9" t="str">
        <f>"0,8794"</f>
        <v>0,8794</v>
      </c>
      <c r="E6" s="9" t="s">
        <v>21</v>
      </c>
      <c r="F6" s="9" t="s">
        <v>22</v>
      </c>
      <c r="G6" s="11" t="s">
        <v>137</v>
      </c>
      <c r="H6" s="11" t="s">
        <v>152</v>
      </c>
      <c r="I6" s="11" t="s">
        <v>321</v>
      </c>
      <c r="J6" s="10"/>
      <c r="K6" s="9" t="str">
        <f>"102,5"</f>
        <v>102,5</v>
      </c>
      <c r="L6" s="11" t="str">
        <f>"90,1385"</f>
        <v>90,1385</v>
      </c>
      <c r="M6" s="9" t="s">
        <v>322</v>
      </c>
    </row>
    <row r="8" spans="1:12" ht="15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9" t="s">
        <v>323</v>
      </c>
      <c r="B9" s="9" t="s">
        <v>324</v>
      </c>
      <c r="C9" s="9" t="s">
        <v>325</v>
      </c>
      <c r="D9" s="9" t="str">
        <f>"0,5657"</f>
        <v>0,5657</v>
      </c>
      <c r="E9" s="9" t="s">
        <v>305</v>
      </c>
      <c r="F9" s="9" t="s">
        <v>22</v>
      </c>
      <c r="G9" s="11" t="s">
        <v>266</v>
      </c>
      <c r="H9" s="11" t="s">
        <v>326</v>
      </c>
      <c r="I9" s="10" t="s">
        <v>327</v>
      </c>
      <c r="J9" s="10"/>
      <c r="K9" s="9" t="str">
        <f>"202,5"</f>
        <v>202,5</v>
      </c>
      <c r="L9" s="11" t="str">
        <f>"119,1364"</f>
        <v>119,1364</v>
      </c>
      <c r="M9" s="9" t="s">
        <v>306</v>
      </c>
    </row>
    <row r="11" spans="1:12" ht="15">
      <c r="A11" s="59" t="s">
        <v>42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9" t="s">
        <v>329</v>
      </c>
      <c r="B12" s="9" t="s">
        <v>330</v>
      </c>
      <c r="C12" s="9" t="s">
        <v>331</v>
      </c>
      <c r="D12" s="9" t="str">
        <f>"0,5256"</f>
        <v>0,5256</v>
      </c>
      <c r="E12" s="9" t="s">
        <v>21</v>
      </c>
      <c r="F12" s="9" t="s">
        <v>22</v>
      </c>
      <c r="G12" s="11" t="s">
        <v>332</v>
      </c>
      <c r="H12" s="11" t="s">
        <v>333</v>
      </c>
      <c r="I12" s="10" t="s">
        <v>334</v>
      </c>
      <c r="J12" s="10"/>
      <c r="K12" s="9" t="str">
        <f>"270,0"</f>
        <v>270,0</v>
      </c>
      <c r="L12" s="11" t="str">
        <f>"141,9120"</f>
        <v>141,9120</v>
      </c>
      <c r="M12" s="9" t="s">
        <v>335</v>
      </c>
    </row>
    <row r="14" spans="5:6" ht="15">
      <c r="E14" s="18" t="s">
        <v>51</v>
      </c>
      <c r="F14" s="35" t="s">
        <v>613</v>
      </c>
    </row>
    <row r="15" spans="5:6" ht="15">
      <c r="E15" s="18" t="s">
        <v>52</v>
      </c>
      <c r="F15" s="35" t="s">
        <v>614</v>
      </c>
    </row>
    <row r="16" spans="5:6" ht="15">
      <c r="E16" s="18" t="s">
        <v>53</v>
      </c>
      <c r="F16" s="35" t="s">
        <v>615</v>
      </c>
    </row>
    <row r="17" spans="5:6" ht="15">
      <c r="E17" s="18" t="s">
        <v>54</v>
      </c>
      <c r="F17" s="35" t="s">
        <v>616</v>
      </c>
    </row>
    <row r="18" spans="5:6" ht="15">
      <c r="E18" s="18" t="s">
        <v>54</v>
      </c>
      <c r="F18" s="35" t="s">
        <v>617</v>
      </c>
    </row>
    <row r="19" spans="5:6" ht="15">
      <c r="E19" s="18" t="s">
        <v>55</v>
      </c>
      <c r="F19" s="35" t="s">
        <v>618</v>
      </c>
    </row>
    <row r="20" ht="12.75">
      <c r="F20" s="3"/>
    </row>
    <row r="22" spans="1:2" ht="18">
      <c r="A22" s="19" t="s">
        <v>56</v>
      </c>
      <c r="B22" s="19"/>
    </row>
    <row r="23" spans="1:2" ht="15">
      <c r="A23" s="20" t="s">
        <v>207</v>
      </c>
      <c r="B23" s="20"/>
    </row>
    <row r="24" spans="1:2" ht="14.25">
      <c r="A24" s="22"/>
      <c r="B24" s="23" t="s">
        <v>58</v>
      </c>
    </row>
    <row r="25" spans="1:5" ht="15">
      <c r="A25" s="24" t="s">
        <v>59</v>
      </c>
      <c r="B25" s="24" t="s">
        <v>60</v>
      </c>
      <c r="C25" s="24" t="s">
        <v>61</v>
      </c>
      <c r="D25" s="24" t="s">
        <v>62</v>
      </c>
      <c r="E25" s="24" t="s">
        <v>63</v>
      </c>
    </row>
    <row r="26" spans="1:5" ht="12.75">
      <c r="A26" s="21" t="s">
        <v>317</v>
      </c>
      <c r="B26" s="4" t="s">
        <v>58</v>
      </c>
      <c r="C26" s="4" t="s">
        <v>111</v>
      </c>
      <c r="D26" s="4" t="s">
        <v>321</v>
      </c>
      <c r="E26" s="25" t="s">
        <v>336</v>
      </c>
    </row>
    <row r="29" spans="1:2" ht="15">
      <c r="A29" s="20" t="s">
        <v>57</v>
      </c>
      <c r="B29" s="20"/>
    </row>
    <row r="30" spans="1:2" ht="14.25">
      <c r="A30" s="22"/>
      <c r="B30" s="23" t="s">
        <v>337</v>
      </c>
    </row>
    <row r="31" spans="1:5" ht="15">
      <c r="A31" s="24" t="s">
        <v>59</v>
      </c>
      <c r="B31" s="24" t="s">
        <v>60</v>
      </c>
      <c r="C31" s="24" t="s">
        <v>61</v>
      </c>
      <c r="D31" s="24" t="s">
        <v>62</v>
      </c>
      <c r="E31" s="24" t="s">
        <v>63</v>
      </c>
    </row>
    <row r="32" spans="1:5" ht="12.75">
      <c r="A32" s="21" t="s">
        <v>302</v>
      </c>
      <c r="B32" s="4" t="s">
        <v>338</v>
      </c>
      <c r="C32" s="4" t="s">
        <v>70</v>
      </c>
      <c r="D32" s="4" t="s">
        <v>326</v>
      </c>
      <c r="E32" s="25" t="s">
        <v>339</v>
      </c>
    </row>
    <row r="34" spans="1:2" ht="14.25">
      <c r="A34" s="22"/>
      <c r="B34" s="23" t="s">
        <v>58</v>
      </c>
    </row>
    <row r="35" spans="1:5" ht="15">
      <c r="A35" s="24" t="s">
        <v>59</v>
      </c>
      <c r="B35" s="24" t="s">
        <v>60</v>
      </c>
      <c r="C35" s="24" t="s">
        <v>61</v>
      </c>
      <c r="D35" s="24" t="s">
        <v>62</v>
      </c>
      <c r="E35" s="24" t="s">
        <v>63</v>
      </c>
    </row>
    <row r="36" spans="1:5" ht="12.75">
      <c r="A36" s="21" t="s">
        <v>328</v>
      </c>
      <c r="B36" s="4" t="s">
        <v>58</v>
      </c>
      <c r="C36" s="4" t="s">
        <v>64</v>
      </c>
      <c r="D36" s="4" t="s">
        <v>333</v>
      </c>
      <c r="E36" s="25" t="s">
        <v>340</v>
      </c>
    </row>
    <row r="41" spans="1:2" ht="18">
      <c r="A41" s="19" t="s">
        <v>74</v>
      </c>
      <c r="B41" s="19"/>
    </row>
    <row r="42" spans="1:3" ht="15">
      <c r="A42" s="24" t="s">
        <v>75</v>
      </c>
      <c r="B42" s="24" t="s">
        <v>76</v>
      </c>
      <c r="C42" s="24" t="s">
        <v>77</v>
      </c>
    </row>
    <row r="43" spans="1:3" ht="12.75">
      <c r="A43" s="4" t="s">
        <v>21</v>
      </c>
      <c r="B43" s="4" t="s">
        <v>232</v>
      </c>
      <c r="C43" s="4" t="s">
        <v>341</v>
      </c>
    </row>
    <row r="44" spans="1:3" ht="12.75">
      <c r="A44" s="4" t="s">
        <v>305</v>
      </c>
      <c r="B44" s="4" t="s">
        <v>80</v>
      </c>
      <c r="C44" s="4" t="s">
        <v>342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I27" sqref="F21:I2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1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58" t="s">
        <v>278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279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281</v>
      </c>
      <c r="B6" s="9" t="s">
        <v>282</v>
      </c>
      <c r="C6" s="9" t="s">
        <v>283</v>
      </c>
      <c r="D6" s="9" t="str">
        <f>"0,7398"</f>
        <v>0,7398</v>
      </c>
      <c r="E6" s="9" t="s">
        <v>120</v>
      </c>
      <c r="F6" s="9" t="s">
        <v>22</v>
      </c>
      <c r="G6" s="11" t="s">
        <v>284</v>
      </c>
      <c r="H6" s="11" t="s">
        <v>285</v>
      </c>
      <c r="I6" s="11" t="s">
        <v>33</v>
      </c>
      <c r="J6" s="10"/>
      <c r="K6" s="9" t="str">
        <f>"127,5"</f>
        <v>127,5</v>
      </c>
      <c r="L6" s="11" t="str">
        <f>"139,5908"</f>
        <v>139,5908</v>
      </c>
      <c r="M6" s="9" t="s">
        <v>286</v>
      </c>
    </row>
    <row r="8" spans="1:12" ht="15">
      <c r="A8" s="59" t="s">
        <v>154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9" t="s">
        <v>288</v>
      </c>
      <c r="B9" s="9" t="s">
        <v>289</v>
      </c>
      <c r="C9" s="9" t="s">
        <v>290</v>
      </c>
      <c r="D9" s="9" t="str">
        <f>"0,6851"</f>
        <v>0,6851</v>
      </c>
      <c r="E9" s="9" t="s">
        <v>21</v>
      </c>
      <c r="F9" s="9" t="s">
        <v>291</v>
      </c>
      <c r="G9" s="11" t="s">
        <v>292</v>
      </c>
      <c r="H9" s="11" t="s">
        <v>152</v>
      </c>
      <c r="I9" s="10" t="s">
        <v>293</v>
      </c>
      <c r="J9" s="10"/>
      <c r="K9" s="9" t="str">
        <f>"95,0"</f>
        <v>95,0</v>
      </c>
      <c r="L9" s="11" t="str">
        <f>"110,6437"</f>
        <v>110,6437</v>
      </c>
      <c r="M9" s="9" t="s">
        <v>294</v>
      </c>
    </row>
    <row r="11" spans="1:12" ht="15">
      <c r="A11" s="59" t="s">
        <v>154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9" t="s">
        <v>156</v>
      </c>
      <c r="B12" s="9" t="s">
        <v>157</v>
      </c>
      <c r="C12" s="9" t="s">
        <v>158</v>
      </c>
      <c r="D12" s="9" t="str">
        <f>"0,6347"</f>
        <v>0,6347</v>
      </c>
      <c r="E12" s="9" t="s">
        <v>21</v>
      </c>
      <c r="F12" s="9" t="s">
        <v>22</v>
      </c>
      <c r="G12" s="11" t="s">
        <v>47</v>
      </c>
      <c r="H12" s="11" t="s">
        <v>266</v>
      </c>
      <c r="I12" s="11" t="s">
        <v>48</v>
      </c>
      <c r="J12" s="10" t="s">
        <v>49</v>
      </c>
      <c r="K12" s="9" t="str">
        <f>"185,0"</f>
        <v>185,0</v>
      </c>
      <c r="L12" s="11" t="str">
        <f>"117,4195"</f>
        <v>117,4195</v>
      </c>
      <c r="M12" s="9" t="s">
        <v>159</v>
      </c>
    </row>
    <row r="14" spans="1:12" ht="15">
      <c r="A14" s="59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12.75">
      <c r="A15" s="9" t="s">
        <v>296</v>
      </c>
      <c r="B15" s="9" t="s">
        <v>297</v>
      </c>
      <c r="C15" s="9" t="s">
        <v>298</v>
      </c>
      <c r="D15" s="9" t="str">
        <f>"0,6167"</f>
        <v>0,6167</v>
      </c>
      <c r="E15" s="9" t="s">
        <v>88</v>
      </c>
      <c r="F15" s="9" t="s">
        <v>89</v>
      </c>
      <c r="G15" s="11" t="s">
        <v>299</v>
      </c>
      <c r="H15" s="11" t="s">
        <v>300</v>
      </c>
      <c r="I15" s="11" t="s">
        <v>301</v>
      </c>
      <c r="J15" s="10"/>
      <c r="K15" s="9" t="str">
        <f>"240,0"</f>
        <v>240,0</v>
      </c>
      <c r="L15" s="11" t="str">
        <f>"148,0080"</f>
        <v>148,0080</v>
      </c>
      <c r="M15" s="9" t="s">
        <v>26</v>
      </c>
    </row>
    <row r="17" spans="1:12" ht="15">
      <c r="A17" s="59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3" ht="12.75">
      <c r="A18" s="12" t="s">
        <v>303</v>
      </c>
      <c r="B18" s="12" t="s">
        <v>304</v>
      </c>
      <c r="C18" s="12" t="s">
        <v>243</v>
      </c>
      <c r="D18" s="12" t="str">
        <f>"0,5540"</f>
        <v>0,5540</v>
      </c>
      <c r="E18" s="12" t="s">
        <v>305</v>
      </c>
      <c r="F18" s="12" t="s">
        <v>22</v>
      </c>
      <c r="G18" s="13"/>
      <c r="H18" s="13"/>
      <c r="I18" s="13"/>
      <c r="J18" s="13"/>
      <c r="K18" s="12" t="str">
        <f>"0.00"</f>
        <v>0.00</v>
      </c>
      <c r="L18" s="14" t="str">
        <f>"0,0000"</f>
        <v>0,0000</v>
      </c>
      <c r="M18" s="12" t="s">
        <v>306</v>
      </c>
    </row>
    <row r="19" spans="1:13" ht="12.75">
      <c r="A19" s="15" t="s">
        <v>307</v>
      </c>
      <c r="B19" s="15" t="s">
        <v>308</v>
      </c>
      <c r="C19" s="15" t="s">
        <v>243</v>
      </c>
      <c r="D19" s="15" t="str">
        <f>"0,5540"</f>
        <v>0,5540</v>
      </c>
      <c r="E19" s="15" t="s">
        <v>120</v>
      </c>
      <c r="F19" s="15" t="s">
        <v>22</v>
      </c>
      <c r="G19" s="16"/>
      <c r="H19" s="16"/>
      <c r="I19" s="16"/>
      <c r="J19" s="16"/>
      <c r="K19" s="15" t="str">
        <f>"0.00"</f>
        <v>0.00</v>
      </c>
      <c r="L19" s="17" t="str">
        <f>"0,0000"</f>
        <v>0,0000</v>
      </c>
      <c r="M19" s="15" t="s">
        <v>26</v>
      </c>
    </row>
    <row r="21" spans="6:7" ht="15">
      <c r="F21" s="18" t="s">
        <v>51</v>
      </c>
      <c r="G21" s="35" t="s">
        <v>613</v>
      </c>
    </row>
    <row r="22" spans="6:7" ht="15">
      <c r="F22" s="18" t="s">
        <v>52</v>
      </c>
      <c r="G22" s="35" t="s">
        <v>614</v>
      </c>
    </row>
    <row r="23" spans="6:7" ht="15">
      <c r="F23" s="18" t="s">
        <v>53</v>
      </c>
      <c r="G23" s="35" t="s">
        <v>615</v>
      </c>
    </row>
    <row r="24" spans="6:7" ht="15">
      <c r="F24" s="18" t="s">
        <v>54</v>
      </c>
      <c r="G24" s="35" t="s">
        <v>616</v>
      </c>
    </row>
    <row r="25" spans="6:7" ht="15">
      <c r="F25" s="18" t="s">
        <v>54</v>
      </c>
      <c r="G25" s="35" t="s">
        <v>617</v>
      </c>
    </row>
    <row r="26" spans="6:7" ht="15">
      <c r="F26" s="18" t="s">
        <v>55</v>
      </c>
      <c r="G26" s="35" t="s">
        <v>618</v>
      </c>
    </row>
    <row r="27" ht="15">
      <c r="E27" s="18"/>
    </row>
    <row r="29" spans="1:2" ht="18">
      <c r="A29" s="19" t="s">
        <v>56</v>
      </c>
      <c r="B29" s="19"/>
    </row>
    <row r="30" spans="1:2" ht="15">
      <c r="A30" s="20" t="s">
        <v>207</v>
      </c>
      <c r="B30" s="20"/>
    </row>
    <row r="31" spans="1:2" ht="14.25">
      <c r="A31" s="22"/>
      <c r="B31" s="23" t="s">
        <v>68</v>
      </c>
    </row>
    <row r="32" spans="1:5" ht="15">
      <c r="A32" s="24" t="s">
        <v>59</v>
      </c>
      <c r="B32" s="24" t="s">
        <v>60</v>
      </c>
      <c r="C32" s="24" t="s">
        <v>61</v>
      </c>
      <c r="D32" s="24" t="s">
        <v>62</v>
      </c>
      <c r="E32" s="24" t="s">
        <v>63</v>
      </c>
    </row>
    <row r="33" spans="1:5" ht="12.75">
      <c r="A33" s="21" t="s">
        <v>280</v>
      </c>
      <c r="B33" s="4" t="s">
        <v>227</v>
      </c>
      <c r="C33" s="4" t="s">
        <v>217</v>
      </c>
      <c r="D33" s="4" t="s">
        <v>33</v>
      </c>
      <c r="E33" s="25" t="s">
        <v>309</v>
      </c>
    </row>
    <row r="34" spans="1:5" ht="12.75">
      <c r="A34" s="21" t="s">
        <v>287</v>
      </c>
      <c r="B34" s="4" t="s">
        <v>310</v>
      </c>
      <c r="C34" s="4" t="s">
        <v>225</v>
      </c>
      <c r="D34" s="4" t="s">
        <v>152</v>
      </c>
      <c r="E34" s="25" t="s">
        <v>311</v>
      </c>
    </row>
    <row r="37" spans="1:2" ht="15">
      <c r="A37" s="20" t="s">
        <v>57</v>
      </c>
      <c r="B37" s="20"/>
    </row>
    <row r="38" spans="1:2" ht="14.25">
      <c r="A38" s="22"/>
      <c r="B38" s="23" t="s">
        <v>58</v>
      </c>
    </row>
    <row r="39" spans="1:5" ht="15">
      <c r="A39" s="24" t="s">
        <v>59</v>
      </c>
      <c r="B39" s="24" t="s">
        <v>60</v>
      </c>
      <c r="C39" s="24" t="s">
        <v>61</v>
      </c>
      <c r="D39" s="24" t="s">
        <v>62</v>
      </c>
      <c r="E39" s="24" t="s">
        <v>63</v>
      </c>
    </row>
    <row r="40" spans="1:5" ht="12.75">
      <c r="A40" s="21" t="s">
        <v>295</v>
      </c>
      <c r="B40" s="4" t="s">
        <v>58</v>
      </c>
      <c r="C40" s="4" t="s">
        <v>66</v>
      </c>
      <c r="D40" s="4" t="s">
        <v>301</v>
      </c>
      <c r="E40" s="25" t="s">
        <v>312</v>
      </c>
    </row>
    <row r="41" spans="1:5" ht="12.75">
      <c r="A41" s="21" t="s">
        <v>155</v>
      </c>
      <c r="B41" s="4" t="s">
        <v>58</v>
      </c>
      <c r="C41" s="4" t="s">
        <v>225</v>
      </c>
      <c r="D41" s="4" t="s">
        <v>48</v>
      </c>
      <c r="E41" s="25" t="s">
        <v>313</v>
      </c>
    </row>
    <row r="46" spans="1:2" ht="18">
      <c r="A46" s="19" t="s">
        <v>74</v>
      </c>
      <c r="B46" s="19"/>
    </row>
    <row r="47" spans="1:3" ht="15">
      <c r="A47" s="24" t="s">
        <v>75</v>
      </c>
      <c r="B47" s="24" t="s">
        <v>76</v>
      </c>
      <c r="C47" s="24" t="s">
        <v>77</v>
      </c>
    </row>
    <row r="48" spans="1:3" ht="12.75">
      <c r="A48" s="4" t="s">
        <v>21</v>
      </c>
      <c r="B48" s="4" t="s">
        <v>232</v>
      </c>
      <c r="C48" s="4" t="s">
        <v>314</v>
      </c>
    </row>
    <row r="49" spans="1:3" ht="12.75">
      <c r="A49" s="4" t="s">
        <v>88</v>
      </c>
      <c r="B49" s="4" t="s">
        <v>80</v>
      </c>
      <c r="C49" s="4" t="s">
        <v>315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3" sqref="F8:H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625" style="4" bestFit="1" customWidth="1"/>
    <col min="14" max="16384" width="9.125" style="3" customWidth="1"/>
  </cols>
  <sheetData>
    <row r="1" spans="1:13" s="2" customFormat="1" ht="28.5" customHeight="1">
      <c r="A1" s="58" t="s">
        <v>269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176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271</v>
      </c>
      <c r="B6" s="9" t="s">
        <v>272</v>
      </c>
      <c r="C6" s="9" t="s">
        <v>273</v>
      </c>
      <c r="D6" s="9" t="str">
        <f>"0,5429"</f>
        <v>0,5429</v>
      </c>
      <c r="E6" s="9" t="s">
        <v>120</v>
      </c>
      <c r="F6" s="9" t="s">
        <v>22</v>
      </c>
      <c r="G6" s="11" t="s">
        <v>274</v>
      </c>
      <c r="H6" s="11" t="s">
        <v>197</v>
      </c>
      <c r="I6" s="10" t="s">
        <v>275</v>
      </c>
      <c r="J6" s="10"/>
      <c r="K6" s="9" t="str">
        <f>"215,0"</f>
        <v>215,0</v>
      </c>
      <c r="L6" s="11" t="str">
        <f>"116,7235"</f>
        <v>116,7235</v>
      </c>
      <c r="M6" s="9" t="s">
        <v>276</v>
      </c>
    </row>
    <row r="8" spans="6:7" ht="15">
      <c r="F8" s="18" t="s">
        <v>51</v>
      </c>
      <c r="G8" s="35" t="s">
        <v>613</v>
      </c>
    </row>
    <row r="9" spans="6:7" ht="15">
      <c r="F9" s="18" t="s">
        <v>52</v>
      </c>
      <c r="G9" s="35" t="s">
        <v>614</v>
      </c>
    </row>
    <row r="10" spans="6:7" ht="15">
      <c r="F10" s="18" t="s">
        <v>53</v>
      </c>
      <c r="G10" s="35" t="s">
        <v>615</v>
      </c>
    </row>
    <row r="11" spans="6:7" ht="15">
      <c r="F11" s="18" t="s">
        <v>54</v>
      </c>
      <c r="G11" s="35" t="s">
        <v>616</v>
      </c>
    </row>
    <row r="12" spans="6:7" ht="15">
      <c r="F12" s="18" t="s">
        <v>54</v>
      </c>
      <c r="G12" s="35" t="s">
        <v>617</v>
      </c>
    </row>
    <row r="13" spans="6:7" ht="15">
      <c r="F13" s="18" t="s">
        <v>55</v>
      </c>
      <c r="G13" s="35" t="s">
        <v>618</v>
      </c>
    </row>
    <row r="14" ht="15">
      <c r="E14" s="18"/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58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63</v>
      </c>
    </row>
    <row r="20" spans="1:5" ht="12.75">
      <c r="A20" s="21" t="s">
        <v>270</v>
      </c>
      <c r="B20" s="4" t="s">
        <v>58</v>
      </c>
      <c r="C20" s="4" t="s">
        <v>220</v>
      </c>
      <c r="D20" s="4" t="s">
        <v>197</v>
      </c>
      <c r="E20" s="25" t="s">
        <v>277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8" t="s">
        <v>260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262</v>
      </c>
      <c r="B6" s="9" t="s">
        <v>263</v>
      </c>
      <c r="C6" s="9" t="s">
        <v>264</v>
      </c>
      <c r="D6" s="9" t="str">
        <f>"0,5893"</f>
        <v>0,5893</v>
      </c>
      <c r="E6" s="9" t="s">
        <v>120</v>
      </c>
      <c r="F6" s="9" t="s">
        <v>265</v>
      </c>
      <c r="G6" s="11" t="s">
        <v>266</v>
      </c>
      <c r="H6" s="10" t="s">
        <v>267</v>
      </c>
      <c r="I6" s="11" t="s">
        <v>267</v>
      </c>
      <c r="J6" s="10"/>
      <c r="K6" s="9" t="str">
        <f>"187,5"</f>
        <v>187,5</v>
      </c>
      <c r="L6" s="11" t="str">
        <f>"110,4937"</f>
        <v>110,4937</v>
      </c>
      <c r="M6" s="9" t="s">
        <v>26</v>
      </c>
    </row>
    <row r="8" spans="4:6" ht="15">
      <c r="D8" s="18"/>
      <c r="E8" s="18" t="s">
        <v>51</v>
      </c>
      <c r="F8" s="35" t="s">
        <v>613</v>
      </c>
    </row>
    <row r="9" spans="4:6" ht="15">
      <c r="D9" s="18"/>
      <c r="E9" s="18" t="s">
        <v>52</v>
      </c>
      <c r="F9" s="35" t="s">
        <v>614</v>
      </c>
    </row>
    <row r="10" spans="4:6" ht="15">
      <c r="D10" s="18"/>
      <c r="E10" s="18" t="s">
        <v>53</v>
      </c>
      <c r="F10" s="35" t="s">
        <v>615</v>
      </c>
    </row>
    <row r="11" spans="4:6" ht="15">
      <c r="D11" s="18"/>
      <c r="E11" s="18" t="s">
        <v>54</v>
      </c>
      <c r="F11" s="35" t="s">
        <v>616</v>
      </c>
    </row>
    <row r="12" spans="4:6" ht="15">
      <c r="D12" s="18"/>
      <c r="E12" s="18" t="s">
        <v>54</v>
      </c>
      <c r="F12" s="35" t="s">
        <v>617</v>
      </c>
    </row>
    <row r="13" spans="4:6" ht="15">
      <c r="D13" s="18"/>
      <c r="E13" s="18" t="s">
        <v>55</v>
      </c>
      <c r="F13" s="35" t="s">
        <v>618</v>
      </c>
    </row>
    <row r="14" ht="12.75">
      <c r="F14" s="3"/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58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63</v>
      </c>
    </row>
    <row r="20" spans="1:5" ht="12.75">
      <c r="A20" s="21" t="s">
        <v>261</v>
      </c>
      <c r="B20" s="4" t="s">
        <v>58</v>
      </c>
      <c r="C20" s="4" t="s">
        <v>66</v>
      </c>
      <c r="D20" s="4" t="s">
        <v>267</v>
      </c>
      <c r="E20" s="25" t="s">
        <v>268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F24" sqref="D18:F2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0.1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8" t="s">
        <v>235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237</v>
      </c>
      <c r="B6" s="9" t="s">
        <v>238</v>
      </c>
      <c r="C6" s="9" t="s">
        <v>239</v>
      </c>
      <c r="D6" s="9" t="str">
        <f>"0,6760"</f>
        <v>0,6760</v>
      </c>
      <c r="E6" s="9" t="s">
        <v>88</v>
      </c>
      <c r="F6" s="9" t="s">
        <v>22</v>
      </c>
      <c r="G6" s="10" t="s">
        <v>32</v>
      </c>
      <c r="H6" s="10" t="s">
        <v>32</v>
      </c>
      <c r="I6" s="11" t="s">
        <v>32</v>
      </c>
      <c r="J6" s="10"/>
      <c r="K6" s="9" t="str">
        <f>"115,0"</f>
        <v>115,0</v>
      </c>
      <c r="L6" s="11" t="str">
        <f>"77,7400"</f>
        <v>77,7400</v>
      </c>
      <c r="M6" s="9" t="s">
        <v>240</v>
      </c>
    </row>
    <row r="8" spans="1:12" ht="15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9" t="s">
        <v>241</v>
      </c>
      <c r="B9" s="9" t="s">
        <v>242</v>
      </c>
      <c r="C9" s="9" t="s">
        <v>243</v>
      </c>
      <c r="D9" s="9" t="str">
        <f>"0,5540"</f>
        <v>0,5540</v>
      </c>
      <c r="E9" s="9" t="s">
        <v>120</v>
      </c>
      <c r="F9" s="9" t="s">
        <v>22</v>
      </c>
      <c r="G9" s="10"/>
      <c r="H9" s="10"/>
      <c r="I9" s="10"/>
      <c r="J9" s="10"/>
      <c r="K9" s="9" t="str">
        <f>"0.00"</f>
        <v>0.00</v>
      </c>
      <c r="L9" s="11" t="str">
        <f>"0,0000"</f>
        <v>0,0000</v>
      </c>
      <c r="M9" s="9" t="s">
        <v>244</v>
      </c>
    </row>
    <row r="11" spans="1:12" ht="15">
      <c r="A11" s="59" t="s">
        <v>176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9" t="s">
        <v>246</v>
      </c>
      <c r="B12" s="9" t="s">
        <v>247</v>
      </c>
      <c r="C12" s="9" t="s">
        <v>248</v>
      </c>
      <c r="D12" s="9" t="str">
        <f>"0,5477"</f>
        <v>0,5477</v>
      </c>
      <c r="E12" s="9" t="s">
        <v>88</v>
      </c>
      <c r="F12" s="9" t="s">
        <v>22</v>
      </c>
      <c r="G12" s="11" t="s">
        <v>24</v>
      </c>
      <c r="H12" s="11" t="s">
        <v>167</v>
      </c>
      <c r="I12" s="11" t="s">
        <v>95</v>
      </c>
      <c r="J12" s="10"/>
      <c r="K12" s="9" t="str">
        <f>"145,0"</f>
        <v>145,0</v>
      </c>
      <c r="L12" s="11" t="str">
        <f>"79,4165"</f>
        <v>79,4165</v>
      </c>
      <c r="M12" s="9" t="s">
        <v>26</v>
      </c>
    </row>
    <row r="14" spans="1:12" ht="15">
      <c r="A14" s="59" t="s">
        <v>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12.75">
      <c r="A15" s="12" t="s">
        <v>250</v>
      </c>
      <c r="B15" s="12" t="s">
        <v>251</v>
      </c>
      <c r="C15" s="12" t="s">
        <v>252</v>
      </c>
      <c r="D15" s="12" t="str">
        <f>"0,5354"</f>
        <v>0,5354</v>
      </c>
      <c r="E15" s="12" t="s">
        <v>120</v>
      </c>
      <c r="F15" s="12" t="s">
        <v>22</v>
      </c>
      <c r="G15" s="14" t="s">
        <v>168</v>
      </c>
      <c r="H15" s="14" t="s">
        <v>95</v>
      </c>
      <c r="I15" s="14" t="s">
        <v>96</v>
      </c>
      <c r="J15" s="13"/>
      <c r="K15" s="12" t="str">
        <f>"150,0"</f>
        <v>150,0</v>
      </c>
      <c r="L15" s="14" t="str">
        <f>"80,3100"</f>
        <v>80,3100</v>
      </c>
      <c r="M15" s="12" t="s">
        <v>138</v>
      </c>
    </row>
    <row r="16" spans="1:13" ht="12.75">
      <c r="A16" s="15" t="s">
        <v>92</v>
      </c>
      <c r="B16" s="15" t="s">
        <v>93</v>
      </c>
      <c r="C16" s="15" t="s">
        <v>253</v>
      </c>
      <c r="D16" s="15" t="str">
        <f>"0,5245"</f>
        <v>0,5245</v>
      </c>
      <c r="E16" s="15" t="s">
        <v>21</v>
      </c>
      <c r="F16" s="15" t="s">
        <v>22</v>
      </c>
      <c r="G16" s="17" t="s">
        <v>165</v>
      </c>
      <c r="H16" s="17" t="s">
        <v>254</v>
      </c>
      <c r="I16" s="16" t="s">
        <v>47</v>
      </c>
      <c r="J16" s="16"/>
      <c r="K16" s="15" t="str">
        <f>"165,0"</f>
        <v>165,0</v>
      </c>
      <c r="L16" s="17" t="str">
        <f>"94,5044"</f>
        <v>94,5044</v>
      </c>
      <c r="M16" s="15" t="s">
        <v>26</v>
      </c>
    </row>
    <row r="18" spans="5:6" ht="15">
      <c r="E18" s="18" t="s">
        <v>51</v>
      </c>
      <c r="F18" s="35" t="s">
        <v>613</v>
      </c>
    </row>
    <row r="19" spans="5:6" ht="15">
      <c r="E19" s="18" t="s">
        <v>52</v>
      </c>
      <c r="F19" s="35" t="s">
        <v>614</v>
      </c>
    </row>
    <row r="20" spans="5:6" ht="15">
      <c r="E20" s="18" t="s">
        <v>53</v>
      </c>
      <c r="F20" s="35" t="s">
        <v>651</v>
      </c>
    </row>
    <row r="21" spans="5:6" ht="15">
      <c r="E21" s="18" t="s">
        <v>54</v>
      </c>
      <c r="F21" s="35" t="s">
        <v>616</v>
      </c>
    </row>
    <row r="22" spans="5:6" ht="15">
      <c r="E22" s="18" t="s">
        <v>54</v>
      </c>
      <c r="F22" s="35" t="s">
        <v>617</v>
      </c>
    </row>
    <row r="23" spans="5:6" ht="15">
      <c r="E23" s="18" t="s">
        <v>55</v>
      </c>
      <c r="F23" s="35" t="s">
        <v>618</v>
      </c>
    </row>
    <row r="24" ht="15">
      <c r="E24" s="18"/>
    </row>
    <row r="26" spans="1:2" ht="18">
      <c r="A26" s="19" t="s">
        <v>56</v>
      </c>
      <c r="B26" s="19"/>
    </row>
    <row r="27" spans="1:2" ht="15">
      <c r="A27" s="20" t="s">
        <v>57</v>
      </c>
      <c r="B27" s="20"/>
    </row>
    <row r="28" spans="1:2" ht="14.25">
      <c r="A28" s="22"/>
      <c r="B28" s="23" t="s">
        <v>58</v>
      </c>
    </row>
    <row r="29" spans="1:5" ht="15">
      <c r="A29" s="24" t="s">
        <v>59</v>
      </c>
      <c r="B29" s="24" t="s">
        <v>60</v>
      </c>
      <c r="C29" s="24" t="s">
        <v>61</v>
      </c>
      <c r="D29" s="24" t="s">
        <v>62</v>
      </c>
      <c r="E29" s="24" t="s">
        <v>63</v>
      </c>
    </row>
    <row r="30" spans="1:5" ht="12.75">
      <c r="A30" s="21" t="s">
        <v>249</v>
      </c>
      <c r="B30" s="4" t="s">
        <v>58</v>
      </c>
      <c r="C30" s="4" t="s">
        <v>64</v>
      </c>
      <c r="D30" s="4" t="s">
        <v>96</v>
      </c>
      <c r="E30" s="25" t="s">
        <v>255</v>
      </c>
    </row>
    <row r="31" spans="1:5" ht="12.75">
      <c r="A31" s="21" t="s">
        <v>236</v>
      </c>
      <c r="B31" s="4" t="s">
        <v>58</v>
      </c>
      <c r="C31" s="4" t="s">
        <v>217</v>
      </c>
      <c r="D31" s="4" t="s">
        <v>32</v>
      </c>
      <c r="E31" s="25" t="s">
        <v>256</v>
      </c>
    </row>
    <row r="33" spans="1:2" ht="14.25">
      <c r="A33" s="22"/>
      <c r="B33" s="23" t="s">
        <v>68</v>
      </c>
    </row>
    <row r="34" spans="1:5" ht="15">
      <c r="A34" s="24" t="s">
        <v>59</v>
      </c>
      <c r="B34" s="24" t="s">
        <v>60</v>
      </c>
      <c r="C34" s="24" t="s">
        <v>61</v>
      </c>
      <c r="D34" s="24" t="s">
        <v>62</v>
      </c>
      <c r="E34" s="24" t="s">
        <v>63</v>
      </c>
    </row>
    <row r="35" spans="1:5" ht="12.75">
      <c r="A35" s="21" t="s">
        <v>91</v>
      </c>
      <c r="B35" s="4" t="s">
        <v>72</v>
      </c>
      <c r="C35" s="4" t="s">
        <v>64</v>
      </c>
      <c r="D35" s="4" t="s">
        <v>254</v>
      </c>
      <c r="E35" s="25" t="s">
        <v>257</v>
      </c>
    </row>
    <row r="36" spans="1:5" ht="12.75">
      <c r="A36" s="21" t="s">
        <v>245</v>
      </c>
      <c r="B36" s="4" t="s">
        <v>99</v>
      </c>
      <c r="C36" s="4" t="s">
        <v>220</v>
      </c>
      <c r="D36" s="4" t="s">
        <v>95</v>
      </c>
      <c r="E36" s="25" t="s">
        <v>258</v>
      </c>
    </row>
    <row r="41" spans="1:2" ht="18">
      <c r="A41" s="19" t="s">
        <v>74</v>
      </c>
      <c r="B41" s="19"/>
    </row>
    <row r="42" spans="1:3" ht="15">
      <c r="A42" s="24" t="s">
        <v>75</v>
      </c>
      <c r="B42" s="24" t="s">
        <v>76</v>
      </c>
      <c r="C42" s="24" t="s">
        <v>77</v>
      </c>
    </row>
    <row r="43" spans="1:3" ht="12.75">
      <c r="A43" s="4" t="s">
        <v>88</v>
      </c>
      <c r="B43" s="4" t="s">
        <v>232</v>
      </c>
      <c r="C43" s="4" t="s">
        <v>259</v>
      </c>
    </row>
    <row r="44" spans="1:3" ht="12.75">
      <c r="A44" s="4" t="s">
        <v>21</v>
      </c>
      <c r="B44" s="4" t="s">
        <v>80</v>
      </c>
      <c r="C44" s="4" t="s">
        <v>102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875" style="4" bestFit="1" customWidth="1"/>
    <col min="14" max="16384" width="9.125" style="3" customWidth="1"/>
  </cols>
  <sheetData>
    <row r="1" spans="1:13" s="2" customFormat="1" ht="28.5" customHeight="1">
      <c r="A1" s="58" t="s">
        <v>606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608</v>
      </c>
      <c r="B6" s="9" t="s">
        <v>609</v>
      </c>
      <c r="C6" s="9" t="s">
        <v>610</v>
      </c>
      <c r="D6" s="9" t="str">
        <f>"0,5323"</f>
        <v>0,5323</v>
      </c>
      <c r="E6" s="9" t="s">
        <v>120</v>
      </c>
      <c r="F6" s="9" t="s">
        <v>22</v>
      </c>
      <c r="G6" s="10" t="s">
        <v>299</v>
      </c>
      <c r="H6" s="10" t="s">
        <v>275</v>
      </c>
      <c r="I6" s="11" t="s">
        <v>300</v>
      </c>
      <c r="J6" s="10"/>
      <c r="K6" s="9" t="str">
        <f>"230,0"</f>
        <v>230,0</v>
      </c>
      <c r="L6" s="11" t="str">
        <f>"122,4290"</f>
        <v>122,4290</v>
      </c>
      <c r="M6" s="9" t="s">
        <v>611</v>
      </c>
    </row>
    <row r="8" spans="5:6" ht="15">
      <c r="E8" s="18" t="s">
        <v>51</v>
      </c>
      <c r="F8" s="35" t="s">
        <v>613</v>
      </c>
    </row>
    <row r="9" spans="5:6" ht="15">
      <c r="E9" s="18" t="s">
        <v>52</v>
      </c>
      <c r="F9" s="35" t="s">
        <v>614</v>
      </c>
    </row>
    <row r="10" spans="5:6" ht="15">
      <c r="E10" s="18" t="s">
        <v>53</v>
      </c>
      <c r="F10" s="35" t="s">
        <v>615</v>
      </c>
    </row>
    <row r="11" spans="5:6" ht="15">
      <c r="E11" s="18" t="s">
        <v>54</v>
      </c>
      <c r="F11" s="35" t="s">
        <v>616</v>
      </c>
    </row>
    <row r="12" spans="5:6" ht="15">
      <c r="E12" s="18" t="s">
        <v>54</v>
      </c>
      <c r="F12" s="35" t="s">
        <v>617</v>
      </c>
    </row>
    <row r="13" spans="5:6" ht="15">
      <c r="E13" s="18" t="s">
        <v>55</v>
      </c>
      <c r="F13" s="35" t="s">
        <v>618</v>
      </c>
    </row>
    <row r="14" ht="15">
      <c r="E14" s="18"/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58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63</v>
      </c>
    </row>
    <row r="20" spans="1:13" ht="12.75">
      <c r="A20" s="21" t="s">
        <v>607</v>
      </c>
      <c r="B20" s="4" t="s">
        <v>58</v>
      </c>
      <c r="C20" s="4" t="s">
        <v>64</v>
      </c>
      <c r="D20" s="4" t="s">
        <v>300</v>
      </c>
      <c r="E20" s="25" t="s">
        <v>612</v>
      </c>
      <c r="M20" s="35"/>
    </row>
    <row r="21" ht="12.75">
      <c r="M21" s="35"/>
    </row>
    <row r="22" ht="12.75">
      <c r="M22" s="35"/>
    </row>
    <row r="23" ht="12.75">
      <c r="M23" s="35"/>
    </row>
    <row r="24" ht="12.75">
      <c r="M24" s="35"/>
    </row>
    <row r="25" ht="12.75">
      <c r="M25" s="35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F36" sqref="F36:H43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52.00390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58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117</v>
      </c>
      <c r="B6" s="9" t="s">
        <v>118</v>
      </c>
      <c r="C6" s="9" t="s">
        <v>119</v>
      </c>
      <c r="D6" s="9" t="str">
        <f>"0,9754"</f>
        <v>0,9754</v>
      </c>
      <c r="E6" s="9" t="s">
        <v>120</v>
      </c>
      <c r="F6" s="9" t="s">
        <v>22</v>
      </c>
      <c r="G6" s="11" t="s">
        <v>121</v>
      </c>
      <c r="H6" s="11" t="s">
        <v>122</v>
      </c>
      <c r="I6" s="10" t="s">
        <v>123</v>
      </c>
      <c r="J6" s="10"/>
      <c r="K6" s="9" t="str">
        <f>"60,0"</f>
        <v>60,0</v>
      </c>
      <c r="L6" s="11" t="str">
        <f>"58,5270"</f>
        <v>58,5270</v>
      </c>
      <c r="M6" s="9" t="s">
        <v>26</v>
      </c>
    </row>
    <row r="8" spans="1:12" ht="15">
      <c r="A8" s="59" t="s">
        <v>124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12" t="s">
        <v>126</v>
      </c>
      <c r="B9" s="12" t="s">
        <v>127</v>
      </c>
      <c r="C9" s="12" t="s">
        <v>128</v>
      </c>
      <c r="D9" s="12" t="str">
        <f>"0,7812"</f>
        <v>0,7812</v>
      </c>
      <c r="E9" s="40" t="s">
        <v>643</v>
      </c>
      <c r="F9" s="12" t="s">
        <v>129</v>
      </c>
      <c r="G9" s="14" t="s">
        <v>123</v>
      </c>
      <c r="H9" s="14" t="s">
        <v>109</v>
      </c>
      <c r="I9" s="14" t="s">
        <v>130</v>
      </c>
      <c r="J9" s="13"/>
      <c r="K9" s="12" t="str">
        <f>"72,5"</f>
        <v>72,5</v>
      </c>
      <c r="L9" s="14" t="str">
        <f>"56,6370"</f>
        <v>56,6370</v>
      </c>
      <c r="M9" s="12" t="s">
        <v>131</v>
      </c>
    </row>
    <row r="10" spans="1:13" ht="12.75">
      <c r="A10" s="15" t="s">
        <v>133</v>
      </c>
      <c r="B10" s="15" t="s">
        <v>134</v>
      </c>
      <c r="C10" s="15" t="s">
        <v>135</v>
      </c>
      <c r="D10" s="15" t="str">
        <f>"0,7984"</f>
        <v>0,7984</v>
      </c>
      <c r="E10" s="15" t="s">
        <v>120</v>
      </c>
      <c r="F10" s="15" t="s">
        <v>22</v>
      </c>
      <c r="G10" s="17" t="s">
        <v>110</v>
      </c>
      <c r="H10" s="17" t="s">
        <v>136</v>
      </c>
      <c r="I10" s="16" t="s">
        <v>137</v>
      </c>
      <c r="J10" s="16"/>
      <c r="K10" s="15" t="str">
        <f>"80,0"</f>
        <v>80,0</v>
      </c>
      <c r="L10" s="17" t="str">
        <f>"64,4509"</f>
        <v>64,4509</v>
      </c>
      <c r="M10" s="15" t="s">
        <v>138</v>
      </c>
    </row>
    <row r="12" spans="1:12" ht="15">
      <c r="A12" s="59" t="s">
        <v>139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2.75">
      <c r="A13" s="12" t="s">
        <v>141</v>
      </c>
      <c r="B13" s="12" t="s">
        <v>142</v>
      </c>
      <c r="C13" s="12" t="s">
        <v>143</v>
      </c>
      <c r="D13" s="12" t="str">
        <f>"0,6767"</f>
        <v>0,6767</v>
      </c>
      <c r="E13" s="12" t="s">
        <v>88</v>
      </c>
      <c r="F13" s="12" t="s">
        <v>89</v>
      </c>
      <c r="G13" s="14" t="s">
        <v>144</v>
      </c>
      <c r="H13" s="14" t="s">
        <v>145</v>
      </c>
      <c r="I13" s="14" t="s">
        <v>146</v>
      </c>
      <c r="J13" s="13"/>
      <c r="K13" s="12" t="str">
        <f>"142,5"</f>
        <v>142,5</v>
      </c>
      <c r="L13" s="14" t="str">
        <f>"96,4297"</f>
        <v>96,4297</v>
      </c>
      <c r="M13" s="12" t="s">
        <v>147</v>
      </c>
    </row>
    <row r="14" spans="1:13" ht="12.75">
      <c r="A14" s="15" t="s">
        <v>149</v>
      </c>
      <c r="B14" s="15" t="s">
        <v>150</v>
      </c>
      <c r="C14" s="15" t="s">
        <v>151</v>
      </c>
      <c r="D14" s="15" t="str">
        <f>"0,6797"</f>
        <v>0,6797</v>
      </c>
      <c r="E14" s="41" t="s">
        <v>643</v>
      </c>
      <c r="F14" s="15" t="s">
        <v>22</v>
      </c>
      <c r="G14" s="17" t="s">
        <v>152</v>
      </c>
      <c r="H14" s="17" t="s">
        <v>40</v>
      </c>
      <c r="I14" s="17" t="s">
        <v>153</v>
      </c>
      <c r="J14" s="16"/>
      <c r="K14" s="15" t="str">
        <f>"105,0"</f>
        <v>105,0</v>
      </c>
      <c r="L14" s="17" t="str">
        <f>"113,4759"</f>
        <v>113,4759</v>
      </c>
      <c r="M14" s="15" t="s">
        <v>26</v>
      </c>
    </row>
    <row r="16" spans="1:12" ht="15">
      <c r="A16" s="59" t="s">
        <v>154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3" ht="12.75">
      <c r="A17" s="9" t="s">
        <v>156</v>
      </c>
      <c r="B17" s="9" t="s">
        <v>157</v>
      </c>
      <c r="C17" s="9" t="s">
        <v>158</v>
      </c>
      <c r="D17" s="9" t="str">
        <f>"0,6347"</f>
        <v>0,6347</v>
      </c>
      <c r="E17" s="9" t="s">
        <v>21</v>
      </c>
      <c r="F17" s="9" t="s">
        <v>22</v>
      </c>
      <c r="G17" s="10" t="s">
        <v>24</v>
      </c>
      <c r="H17" s="11" t="s">
        <v>24</v>
      </c>
      <c r="I17" s="10" t="s">
        <v>25</v>
      </c>
      <c r="J17" s="10"/>
      <c r="K17" s="9" t="str">
        <f>"125,0"</f>
        <v>125,0</v>
      </c>
      <c r="L17" s="11" t="str">
        <f>"79,3375"</f>
        <v>79,3375</v>
      </c>
      <c r="M17" s="9" t="s">
        <v>159</v>
      </c>
    </row>
    <row r="19" spans="1:12" ht="15">
      <c r="A19" s="59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3" ht="12.75">
      <c r="A20" s="12" t="s">
        <v>161</v>
      </c>
      <c r="B20" s="12" t="s">
        <v>162</v>
      </c>
      <c r="C20" s="12" t="s">
        <v>163</v>
      </c>
      <c r="D20" s="12" t="str">
        <f>"0,5952"</f>
        <v>0,5952</v>
      </c>
      <c r="E20" s="40" t="s">
        <v>21</v>
      </c>
      <c r="F20" s="12" t="s">
        <v>22</v>
      </c>
      <c r="G20" s="14" t="s">
        <v>164</v>
      </c>
      <c r="H20" s="14" t="s">
        <v>96</v>
      </c>
      <c r="I20" s="13" t="s">
        <v>165</v>
      </c>
      <c r="J20" s="13"/>
      <c r="K20" s="12" t="str">
        <f>"150,0"</f>
        <v>150,0</v>
      </c>
      <c r="L20" s="14" t="str">
        <f>"89,2800"</f>
        <v>89,2800</v>
      </c>
      <c r="M20" s="12" t="s">
        <v>26</v>
      </c>
    </row>
    <row r="21" spans="1:13" ht="12.75">
      <c r="A21" s="26" t="s">
        <v>166</v>
      </c>
      <c r="B21" s="26" t="s">
        <v>19</v>
      </c>
      <c r="C21" s="26" t="s">
        <v>20</v>
      </c>
      <c r="D21" s="26" t="str">
        <f>"0,5905"</f>
        <v>0,5905</v>
      </c>
      <c r="E21" s="26" t="s">
        <v>21</v>
      </c>
      <c r="F21" s="26" t="s">
        <v>22</v>
      </c>
      <c r="G21" s="28" t="s">
        <v>167</v>
      </c>
      <c r="H21" s="28" t="s">
        <v>168</v>
      </c>
      <c r="I21" s="27" t="s">
        <v>95</v>
      </c>
      <c r="J21" s="27"/>
      <c r="K21" s="26" t="str">
        <f>"140,0"</f>
        <v>140,0</v>
      </c>
      <c r="L21" s="28" t="str">
        <f>"82,6700"</f>
        <v>82,6700</v>
      </c>
      <c r="M21" s="26" t="s">
        <v>26</v>
      </c>
    </row>
    <row r="22" spans="1:13" ht="12.75">
      <c r="A22" s="15" t="s">
        <v>161</v>
      </c>
      <c r="B22" s="15" t="s">
        <v>169</v>
      </c>
      <c r="C22" s="15" t="s">
        <v>163</v>
      </c>
      <c r="D22" s="15" t="str">
        <f>"0,5952"</f>
        <v>0,5952</v>
      </c>
      <c r="E22" s="41" t="s">
        <v>21</v>
      </c>
      <c r="F22" s="15" t="s">
        <v>22</v>
      </c>
      <c r="G22" s="17" t="s">
        <v>164</v>
      </c>
      <c r="H22" s="17" t="s">
        <v>96</v>
      </c>
      <c r="I22" s="16" t="s">
        <v>165</v>
      </c>
      <c r="J22" s="16"/>
      <c r="K22" s="15" t="str">
        <f>"150,0"</f>
        <v>150,0</v>
      </c>
      <c r="L22" s="17" t="str">
        <f>"89,2800"</f>
        <v>89,2800</v>
      </c>
      <c r="M22" s="15" t="s">
        <v>26</v>
      </c>
    </row>
    <row r="24" spans="1:12" ht="15">
      <c r="A24" s="59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3" ht="12.75">
      <c r="A25" s="9" t="s">
        <v>171</v>
      </c>
      <c r="B25" s="9" t="s">
        <v>172</v>
      </c>
      <c r="C25" s="9" t="s">
        <v>173</v>
      </c>
      <c r="D25" s="9" t="str">
        <f>"0,5575"</f>
        <v>0,5575</v>
      </c>
      <c r="E25" s="9" t="s">
        <v>120</v>
      </c>
      <c r="F25" s="9" t="s">
        <v>174</v>
      </c>
      <c r="G25" s="11" t="s">
        <v>165</v>
      </c>
      <c r="H25" s="10" t="s">
        <v>175</v>
      </c>
      <c r="I25" s="11" t="s">
        <v>175</v>
      </c>
      <c r="J25" s="10"/>
      <c r="K25" s="9" t="str">
        <f>"162,5"</f>
        <v>162,5</v>
      </c>
      <c r="L25" s="11" t="str">
        <f>"90,5938"</f>
        <v>90,5938</v>
      </c>
      <c r="M25" s="9" t="s">
        <v>26</v>
      </c>
    </row>
    <row r="27" spans="1:12" ht="15">
      <c r="A27" s="59" t="s">
        <v>176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3" ht="12.75">
      <c r="A28" s="12" t="s">
        <v>178</v>
      </c>
      <c r="B28" s="12" t="s">
        <v>179</v>
      </c>
      <c r="C28" s="12" t="s">
        <v>180</v>
      </c>
      <c r="D28" s="12" t="str">
        <f>"0,5386"</f>
        <v>0,5386</v>
      </c>
      <c r="E28" s="12" t="s">
        <v>181</v>
      </c>
      <c r="F28" s="12" t="s">
        <v>182</v>
      </c>
      <c r="G28" s="14" t="s">
        <v>183</v>
      </c>
      <c r="H28" s="14" t="s">
        <v>184</v>
      </c>
      <c r="I28" s="13" t="s">
        <v>185</v>
      </c>
      <c r="J28" s="13"/>
      <c r="K28" s="12" t="str">
        <f>"170,0"</f>
        <v>170,0</v>
      </c>
      <c r="L28" s="14" t="str">
        <f>"91,5620"</f>
        <v>91,5620</v>
      </c>
      <c r="M28" s="12" t="s">
        <v>186</v>
      </c>
    </row>
    <row r="29" spans="1:13" ht="12.75">
      <c r="A29" s="15" t="s">
        <v>188</v>
      </c>
      <c r="B29" s="15" t="s">
        <v>189</v>
      </c>
      <c r="C29" s="15" t="s">
        <v>190</v>
      </c>
      <c r="D29" s="15" t="str">
        <f>"0,5376"</f>
        <v>0,5376</v>
      </c>
      <c r="E29" s="15" t="s">
        <v>181</v>
      </c>
      <c r="F29" s="15" t="s">
        <v>182</v>
      </c>
      <c r="G29" s="17" t="s">
        <v>191</v>
      </c>
      <c r="H29" s="17" t="s">
        <v>175</v>
      </c>
      <c r="I29" s="17" t="s">
        <v>183</v>
      </c>
      <c r="J29" s="16"/>
      <c r="K29" s="15" t="str">
        <f>"167,5"</f>
        <v>167,5</v>
      </c>
      <c r="L29" s="17" t="str">
        <f>"90,0480"</f>
        <v>90,0480</v>
      </c>
      <c r="M29" s="15" t="s">
        <v>192</v>
      </c>
    </row>
    <row r="31" spans="1:12" ht="15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3" ht="12.75">
      <c r="A32" s="12" t="s">
        <v>194</v>
      </c>
      <c r="B32" s="12" t="s">
        <v>195</v>
      </c>
      <c r="C32" s="12" t="s">
        <v>94</v>
      </c>
      <c r="D32" s="12" t="str">
        <f>"0,5243"</f>
        <v>0,5243</v>
      </c>
      <c r="E32" s="12" t="s">
        <v>120</v>
      </c>
      <c r="F32" s="12" t="s">
        <v>182</v>
      </c>
      <c r="G32" s="14" t="s">
        <v>196</v>
      </c>
      <c r="H32" s="13" t="s">
        <v>197</v>
      </c>
      <c r="I32" s="14" t="s">
        <v>197</v>
      </c>
      <c r="J32" s="13"/>
      <c r="K32" s="12" t="str">
        <f>"215,0"</f>
        <v>215,0</v>
      </c>
      <c r="L32" s="14" t="str">
        <f>"112,7245"</f>
        <v>112,7245</v>
      </c>
      <c r="M32" s="12" t="s">
        <v>186</v>
      </c>
    </row>
    <row r="33" spans="1:13" ht="12.75">
      <c r="A33" s="26" t="s">
        <v>198</v>
      </c>
      <c r="B33" s="26" t="s">
        <v>45</v>
      </c>
      <c r="C33" s="26" t="s">
        <v>46</v>
      </c>
      <c r="D33" s="26" t="str">
        <f>"0,5338"</f>
        <v>0,5338</v>
      </c>
      <c r="E33" s="26" t="s">
        <v>21</v>
      </c>
      <c r="F33" s="26" t="s">
        <v>22</v>
      </c>
      <c r="G33" s="28" t="s">
        <v>48</v>
      </c>
      <c r="H33" s="28" t="s">
        <v>199</v>
      </c>
      <c r="I33" s="28" t="s">
        <v>200</v>
      </c>
      <c r="J33" s="27"/>
      <c r="K33" s="26" t="str">
        <f>"195,0"</f>
        <v>195,0</v>
      </c>
      <c r="L33" s="28" t="str">
        <f>"104,0910"</f>
        <v>104,0910</v>
      </c>
      <c r="M33" s="26" t="s">
        <v>50</v>
      </c>
    </row>
    <row r="34" spans="1:13" ht="12.75">
      <c r="A34" s="15" t="s">
        <v>202</v>
      </c>
      <c r="B34" s="15" t="s">
        <v>203</v>
      </c>
      <c r="C34" s="15" t="s">
        <v>204</v>
      </c>
      <c r="D34" s="15" t="str">
        <f>"0,5292"</f>
        <v>0,5292</v>
      </c>
      <c r="E34" s="15" t="s">
        <v>120</v>
      </c>
      <c r="F34" s="15" t="s">
        <v>205</v>
      </c>
      <c r="G34" s="17" t="s">
        <v>184</v>
      </c>
      <c r="H34" s="17" t="s">
        <v>47</v>
      </c>
      <c r="I34" s="17" t="s">
        <v>206</v>
      </c>
      <c r="J34" s="16"/>
      <c r="K34" s="15" t="str">
        <f>"177,5"</f>
        <v>177,5</v>
      </c>
      <c r="L34" s="17" t="str">
        <f>"93,9330"</f>
        <v>93,9330</v>
      </c>
      <c r="M34" s="15" t="s">
        <v>26</v>
      </c>
    </row>
    <row r="36" spans="6:7" ht="15">
      <c r="F36" s="18" t="s">
        <v>51</v>
      </c>
      <c r="G36" s="35" t="s">
        <v>613</v>
      </c>
    </row>
    <row r="37" spans="6:7" ht="15">
      <c r="F37" s="18" t="s">
        <v>52</v>
      </c>
      <c r="G37" s="35" t="s">
        <v>614</v>
      </c>
    </row>
    <row r="38" spans="6:7" ht="15">
      <c r="F38" s="18" t="s">
        <v>53</v>
      </c>
      <c r="G38" s="35" t="s">
        <v>651</v>
      </c>
    </row>
    <row r="39" spans="6:7" ht="15">
      <c r="F39" s="18" t="s">
        <v>54</v>
      </c>
      <c r="G39" s="35" t="s">
        <v>616</v>
      </c>
    </row>
    <row r="40" spans="6:7" ht="15">
      <c r="F40" s="18" t="s">
        <v>54</v>
      </c>
      <c r="G40" s="35" t="s">
        <v>617</v>
      </c>
    </row>
    <row r="41" spans="6:7" ht="15">
      <c r="F41" s="18" t="s">
        <v>55</v>
      </c>
      <c r="G41" s="35" t="s">
        <v>618</v>
      </c>
    </row>
    <row r="42" spans="6:7" ht="15">
      <c r="F42" s="18"/>
      <c r="G42" s="4"/>
    </row>
    <row r="44" spans="1:2" ht="18">
      <c r="A44" s="19" t="s">
        <v>56</v>
      </c>
      <c r="B44" s="19"/>
    </row>
    <row r="45" spans="1:2" ht="15">
      <c r="A45" s="20" t="s">
        <v>207</v>
      </c>
      <c r="B45" s="20"/>
    </row>
    <row r="46" spans="1:2" ht="14.25">
      <c r="A46" s="22"/>
      <c r="B46" s="23" t="s">
        <v>208</v>
      </c>
    </row>
    <row r="47" spans="1:5" ht="15">
      <c r="A47" s="24" t="s">
        <v>59</v>
      </c>
      <c r="B47" s="24" t="s">
        <v>60</v>
      </c>
      <c r="C47" s="24" t="s">
        <v>61</v>
      </c>
      <c r="D47" s="24" t="s">
        <v>62</v>
      </c>
      <c r="E47" s="24" t="s">
        <v>63</v>
      </c>
    </row>
    <row r="48" spans="1:5" ht="12.75">
      <c r="A48" s="21" t="s">
        <v>116</v>
      </c>
      <c r="B48" s="4" t="s">
        <v>209</v>
      </c>
      <c r="C48" s="4" t="s">
        <v>210</v>
      </c>
      <c r="D48" s="4" t="s">
        <v>122</v>
      </c>
      <c r="E48" s="25" t="s">
        <v>211</v>
      </c>
    </row>
    <row r="50" spans="1:2" ht="14.25">
      <c r="A50" s="22"/>
      <c r="B50" s="23" t="s">
        <v>58</v>
      </c>
    </row>
    <row r="51" spans="1:5" ht="15">
      <c r="A51" s="24" t="s">
        <v>59</v>
      </c>
      <c r="B51" s="24" t="s">
        <v>60</v>
      </c>
      <c r="C51" s="24" t="s">
        <v>61</v>
      </c>
      <c r="D51" s="24" t="s">
        <v>62</v>
      </c>
      <c r="E51" s="24" t="s">
        <v>63</v>
      </c>
    </row>
    <row r="52" spans="1:5" ht="12.75">
      <c r="A52" s="21" t="s">
        <v>125</v>
      </c>
      <c r="B52" s="4" t="s">
        <v>58</v>
      </c>
      <c r="C52" s="4" t="s">
        <v>212</v>
      </c>
      <c r="D52" s="4" t="s">
        <v>130</v>
      </c>
      <c r="E52" s="25" t="s">
        <v>213</v>
      </c>
    </row>
    <row r="54" spans="1:2" ht="14.25">
      <c r="A54" s="22"/>
      <c r="B54" s="23" t="s">
        <v>68</v>
      </c>
    </row>
    <row r="55" spans="1:5" ht="15">
      <c r="A55" s="24" t="s">
        <v>59</v>
      </c>
      <c r="B55" s="24" t="s">
        <v>60</v>
      </c>
      <c r="C55" s="24" t="s">
        <v>61</v>
      </c>
      <c r="D55" s="24" t="s">
        <v>62</v>
      </c>
      <c r="E55" s="24" t="s">
        <v>63</v>
      </c>
    </row>
    <row r="56" spans="1:5" ht="12.75">
      <c r="A56" s="21" t="s">
        <v>132</v>
      </c>
      <c r="B56" s="4" t="s">
        <v>99</v>
      </c>
      <c r="C56" s="4" t="s">
        <v>212</v>
      </c>
      <c r="D56" s="4" t="s">
        <v>136</v>
      </c>
      <c r="E56" s="25" t="s">
        <v>214</v>
      </c>
    </row>
    <row r="59" spans="1:2" ht="15">
      <c r="A59" s="20" t="s">
        <v>57</v>
      </c>
      <c r="B59" s="20"/>
    </row>
    <row r="60" spans="1:2" ht="14.25">
      <c r="A60" s="22"/>
      <c r="B60" s="23" t="s">
        <v>58</v>
      </c>
    </row>
    <row r="61" spans="1:5" ht="15">
      <c r="A61" s="24" t="s">
        <v>59</v>
      </c>
      <c r="B61" s="24" t="s">
        <v>60</v>
      </c>
      <c r="C61" s="24" t="s">
        <v>61</v>
      </c>
      <c r="D61" s="24" t="s">
        <v>62</v>
      </c>
      <c r="E61" s="24" t="s">
        <v>63</v>
      </c>
    </row>
    <row r="62" spans="1:5" ht="12.75">
      <c r="A62" s="21" t="s">
        <v>193</v>
      </c>
      <c r="B62" s="4" t="s">
        <v>58</v>
      </c>
      <c r="C62" s="4" t="s">
        <v>64</v>
      </c>
      <c r="D62" s="4" t="s">
        <v>197</v>
      </c>
      <c r="E62" s="25" t="s">
        <v>215</v>
      </c>
    </row>
    <row r="63" spans="1:5" ht="12.75">
      <c r="A63" s="21" t="s">
        <v>43</v>
      </c>
      <c r="B63" s="4" t="s">
        <v>58</v>
      </c>
      <c r="C63" s="4" t="s">
        <v>64</v>
      </c>
      <c r="D63" s="4" t="s">
        <v>200</v>
      </c>
      <c r="E63" s="25" t="s">
        <v>216</v>
      </c>
    </row>
    <row r="64" spans="1:5" ht="12.75">
      <c r="A64" s="21" t="s">
        <v>140</v>
      </c>
      <c r="B64" s="4" t="s">
        <v>58</v>
      </c>
      <c r="C64" s="4" t="s">
        <v>217</v>
      </c>
      <c r="D64" s="4" t="s">
        <v>146</v>
      </c>
      <c r="E64" s="25" t="s">
        <v>218</v>
      </c>
    </row>
    <row r="65" spans="1:5" ht="12.75">
      <c r="A65" s="21" t="s">
        <v>201</v>
      </c>
      <c r="B65" s="4" t="s">
        <v>58</v>
      </c>
      <c r="C65" s="4" t="s">
        <v>64</v>
      </c>
      <c r="D65" s="4" t="s">
        <v>206</v>
      </c>
      <c r="E65" s="25" t="s">
        <v>219</v>
      </c>
    </row>
    <row r="66" spans="1:5" ht="12.75">
      <c r="A66" s="21" t="s">
        <v>177</v>
      </c>
      <c r="B66" s="4" t="s">
        <v>58</v>
      </c>
      <c r="C66" s="4" t="s">
        <v>220</v>
      </c>
      <c r="D66" s="4" t="s">
        <v>184</v>
      </c>
      <c r="E66" s="25" t="s">
        <v>221</v>
      </c>
    </row>
    <row r="67" spans="1:5" ht="12.75">
      <c r="A67" s="21" t="s">
        <v>170</v>
      </c>
      <c r="B67" s="4" t="s">
        <v>58</v>
      </c>
      <c r="C67" s="4" t="s">
        <v>70</v>
      </c>
      <c r="D67" s="4" t="s">
        <v>175</v>
      </c>
      <c r="E67" s="25" t="s">
        <v>222</v>
      </c>
    </row>
    <row r="68" spans="1:5" ht="12.75">
      <c r="A68" s="21" t="s">
        <v>160</v>
      </c>
      <c r="B68" s="4" t="s">
        <v>58</v>
      </c>
      <c r="C68" s="4" t="s">
        <v>66</v>
      </c>
      <c r="D68" s="4" t="s">
        <v>96</v>
      </c>
      <c r="E68" s="25" t="s">
        <v>223</v>
      </c>
    </row>
    <row r="69" spans="1:5" ht="12.75">
      <c r="A69" s="21" t="s">
        <v>17</v>
      </c>
      <c r="B69" s="4" t="s">
        <v>58</v>
      </c>
      <c r="C69" s="4" t="s">
        <v>66</v>
      </c>
      <c r="D69" s="4" t="s">
        <v>168</v>
      </c>
      <c r="E69" s="25" t="s">
        <v>224</v>
      </c>
    </row>
    <row r="70" spans="1:5" ht="12.75">
      <c r="A70" s="21" t="s">
        <v>155</v>
      </c>
      <c r="B70" s="4" t="s">
        <v>58</v>
      </c>
      <c r="C70" s="4" t="s">
        <v>225</v>
      </c>
      <c r="D70" s="4" t="s">
        <v>24</v>
      </c>
      <c r="E70" s="25" t="s">
        <v>226</v>
      </c>
    </row>
    <row r="72" spans="1:2" ht="14.25">
      <c r="A72" s="22"/>
      <c r="B72" s="23" t="s">
        <v>68</v>
      </c>
    </row>
    <row r="73" spans="1:5" ht="15">
      <c r="A73" s="24" t="s">
        <v>59</v>
      </c>
      <c r="B73" s="24" t="s">
        <v>60</v>
      </c>
      <c r="C73" s="24" t="s">
        <v>61</v>
      </c>
      <c r="D73" s="24" t="s">
        <v>62</v>
      </c>
      <c r="E73" s="24" t="s">
        <v>63</v>
      </c>
    </row>
    <row r="74" spans="1:5" ht="12.75">
      <c r="A74" s="21" t="s">
        <v>148</v>
      </c>
      <c r="B74" s="4" t="s">
        <v>227</v>
      </c>
      <c r="C74" s="4" t="s">
        <v>217</v>
      </c>
      <c r="D74" s="4" t="s">
        <v>153</v>
      </c>
      <c r="E74" s="25" t="s">
        <v>228</v>
      </c>
    </row>
    <row r="75" spans="1:5" ht="12.75">
      <c r="A75" s="21" t="s">
        <v>187</v>
      </c>
      <c r="B75" s="4" t="s">
        <v>99</v>
      </c>
      <c r="C75" s="4" t="s">
        <v>220</v>
      </c>
      <c r="D75" s="4" t="s">
        <v>183</v>
      </c>
      <c r="E75" s="25" t="s">
        <v>229</v>
      </c>
    </row>
    <row r="76" spans="1:5" ht="12.75">
      <c r="A76" s="21" t="s">
        <v>160</v>
      </c>
      <c r="B76" s="4" t="s">
        <v>99</v>
      </c>
      <c r="C76" s="4" t="s">
        <v>66</v>
      </c>
      <c r="D76" s="4" t="s">
        <v>96</v>
      </c>
      <c r="E76" s="25" t="s">
        <v>223</v>
      </c>
    </row>
    <row r="81" spans="1:2" ht="18">
      <c r="A81" s="19" t="s">
        <v>74</v>
      </c>
      <c r="B81" s="19"/>
    </row>
    <row r="82" spans="1:3" ht="15">
      <c r="A82" s="24" t="s">
        <v>75</v>
      </c>
      <c r="B82" s="24" t="s">
        <v>76</v>
      </c>
      <c r="C82" s="24" t="s">
        <v>77</v>
      </c>
    </row>
    <row r="83" spans="1:3" ht="12.75">
      <c r="A83" s="4" t="s">
        <v>21</v>
      </c>
      <c r="B83" s="4" t="s">
        <v>230</v>
      </c>
      <c r="C83" s="4" t="s">
        <v>231</v>
      </c>
    </row>
    <row r="84" spans="1:3" ht="12.75">
      <c r="A84" s="4" t="s">
        <v>181</v>
      </c>
      <c r="B84" s="4" t="s">
        <v>232</v>
      </c>
      <c r="C84" s="4" t="s">
        <v>233</v>
      </c>
    </row>
    <row r="85" spans="1:3" ht="12.75">
      <c r="A85" s="4" t="s">
        <v>88</v>
      </c>
      <c r="B85" s="4" t="s">
        <v>80</v>
      </c>
      <c r="C85" s="4" t="s">
        <v>234</v>
      </c>
    </row>
  </sheetData>
  <sheetProtection/>
  <mergeCells count="19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6:L16"/>
    <mergeCell ref="A19:L19"/>
    <mergeCell ref="A24:L24"/>
    <mergeCell ref="A27:L27"/>
    <mergeCell ref="A31:L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:G1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75390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8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106</v>
      </c>
      <c r="B6" s="9" t="s">
        <v>107</v>
      </c>
      <c r="C6" s="9" t="s">
        <v>108</v>
      </c>
      <c r="D6" s="9" t="str">
        <f>"0,8361"</f>
        <v>0,8361</v>
      </c>
      <c r="E6" s="9" t="s">
        <v>21</v>
      </c>
      <c r="F6" s="9" t="s">
        <v>22</v>
      </c>
      <c r="G6" s="11" t="s">
        <v>109</v>
      </c>
      <c r="H6" s="10" t="s">
        <v>110</v>
      </c>
      <c r="I6" s="10" t="s">
        <v>110</v>
      </c>
      <c r="J6" s="10"/>
      <c r="K6" s="9" t="str">
        <f>"70,0"</f>
        <v>70,0</v>
      </c>
      <c r="L6" s="11" t="str">
        <f>"59,5805"</f>
        <v>59,5805</v>
      </c>
      <c r="M6" s="9" t="s">
        <v>26</v>
      </c>
    </row>
    <row r="8" spans="5:6" ht="15">
      <c r="E8" s="18" t="s">
        <v>51</v>
      </c>
      <c r="F8" s="35" t="s">
        <v>613</v>
      </c>
    </row>
    <row r="9" spans="5:6" ht="15">
      <c r="E9" s="18" t="s">
        <v>52</v>
      </c>
      <c r="F9" s="35" t="s">
        <v>614</v>
      </c>
    </row>
    <row r="10" spans="5:6" ht="15">
      <c r="E10" s="18" t="s">
        <v>53</v>
      </c>
      <c r="F10" s="35" t="s">
        <v>651</v>
      </c>
    </row>
    <row r="11" spans="5:6" ht="15">
      <c r="E11" s="18" t="s">
        <v>54</v>
      </c>
      <c r="F11" s="35" t="s">
        <v>616</v>
      </c>
    </row>
    <row r="12" spans="5:6" ht="15">
      <c r="E12" s="18" t="s">
        <v>54</v>
      </c>
      <c r="F12" s="35" t="s">
        <v>617</v>
      </c>
    </row>
    <row r="13" spans="5:6" ht="15">
      <c r="E13" s="18" t="s">
        <v>55</v>
      </c>
      <c r="F13" s="35" t="s">
        <v>618</v>
      </c>
    </row>
    <row r="14" ht="15">
      <c r="E14" s="18"/>
    </row>
    <row r="15" ht="12.75">
      <c r="F15" s="3"/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68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63</v>
      </c>
    </row>
    <row r="20" spans="1:5" ht="12.75">
      <c r="A20" s="21" t="s">
        <v>105</v>
      </c>
      <c r="B20" s="4" t="s">
        <v>99</v>
      </c>
      <c r="C20" s="4" t="s">
        <v>111</v>
      </c>
      <c r="D20" s="4" t="s">
        <v>109</v>
      </c>
      <c r="E20" s="25" t="s">
        <v>112</v>
      </c>
    </row>
    <row r="25" spans="1:2" ht="18">
      <c r="A25" s="19" t="s">
        <v>74</v>
      </c>
      <c r="B25" s="19"/>
    </row>
    <row r="26" spans="1:3" ht="15">
      <c r="A26" s="24" t="s">
        <v>75</v>
      </c>
      <c r="B26" s="24" t="s">
        <v>76</v>
      </c>
      <c r="C26" s="24" t="s">
        <v>77</v>
      </c>
    </row>
    <row r="27" spans="1:3" ht="12.75">
      <c r="A27" s="4" t="s">
        <v>21</v>
      </c>
      <c r="B27" s="4" t="s">
        <v>80</v>
      </c>
      <c r="C27" s="4" t="s">
        <v>113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11" sqref="E11:G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2.00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8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85</v>
      </c>
      <c r="B6" s="9" t="s">
        <v>86</v>
      </c>
      <c r="C6" s="9" t="s">
        <v>87</v>
      </c>
      <c r="D6" s="9" t="str">
        <f>"0,5914"</f>
        <v>0,5914</v>
      </c>
      <c r="E6" s="9" t="s">
        <v>88</v>
      </c>
      <c r="F6" s="9" t="s">
        <v>89</v>
      </c>
      <c r="G6" s="11" t="s">
        <v>90</v>
      </c>
      <c r="H6" s="11" t="s">
        <v>23</v>
      </c>
      <c r="I6" s="11" t="s">
        <v>24</v>
      </c>
      <c r="J6" s="10"/>
      <c r="K6" s="9" t="str">
        <f>"125,0"</f>
        <v>125,0</v>
      </c>
      <c r="L6" s="11" t="str">
        <f>"74,5903"</f>
        <v>74,5903</v>
      </c>
      <c r="M6" s="9" t="s">
        <v>26</v>
      </c>
    </row>
    <row r="8" spans="1:12" ht="15">
      <c r="A8" s="59" t="s">
        <v>42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9" t="s">
        <v>92</v>
      </c>
      <c r="B9" s="9" t="s">
        <v>93</v>
      </c>
      <c r="C9" s="9" t="s">
        <v>94</v>
      </c>
      <c r="D9" s="9" t="str">
        <f>"0,5243"</f>
        <v>0,5243</v>
      </c>
      <c r="E9" s="9" t="s">
        <v>21</v>
      </c>
      <c r="F9" s="9" t="s">
        <v>22</v>
      </c>
      <c r="G9" s="10" t="s">
        <v>95</v>
      </c>
      <c r="H9" s="11" t="s">
        <v>96</v>
      </c>
      <c r="I9" s="11" t="s">
        <v>97</v>
      </c>
      <c r="J9" s="10"/>
      <c r="K9" s="9" t="str">
        <f>"160,0"</f>
        <v>160,0</v>
      </c>
      <c r="L9" s="11" t="str">
        <f>"91,6057"</f>
        <v>91,6057</v>
      </c>
      <c r="M9" s="9" t="s">
        <v>26</v>
      </c>
    </row>
    <row r="11" spans="5:6" ht="15">
      <c r="E11" s="18" t="s">
        <v>51</v>
      </c>
      <c r="F11" s="35" t="s">
        <v>613</v>
      </c>
    </row>
    <row r="12" spans="5:6" ht="15">
      <c r="E12" s="18" t="s">
        <v>52</v>
      </c>
      <c r="F12" s="35" t="s">
        <v>614</v>
      </c>
    </row>
    <row r="13" spans="5:6" ht="15">
      <c r="E13" s="18" t="s">
        <v>53</v>
      </c>
      <c r="F13" s="35" t="s">
        <v>651</v>
      </c>
    </row>
    <row r="14" spans="5:6" ht="15">
      <c r="E14" s="18" t="s">
        <v>54</v>
      </c>
      <c r="F14" s="35" t="s">
        <v>616</v>
      </c>
    </row>
    <row r="15" spans="5:6" ht="15">
      <c r="E15" s="18" t="s">
        <v>54</v>
      </c>
      <c r="F15" s="35" t="s">
        <v>617</v>
      </c>
    </row>
    <row r="16" spans="5:6" ht="15">
      <c r="E16" s="18" t="s">
        <v>55</v>
      </c>
      <c r="F16" s="35" t="s">
        <v>618</v>
      </c>
    </row>
    <row r="17" ht="15">
      <c r="E17" s="18"/>
    </row>
    <row r="18" ht="12.75">
      <c r="F18" s="3"/>
    </row>
    <row r="19" spans="1:2" ht="18">
      <c r="A19" s="19" t="s">
        <v>56</v>
      </c>
      <c r="B19" s="19"/>
    </row>
    <row r="20" spans="1:2" ht="15">
      <c r="A20" s="20" t="s">
        <v>57</v>
      </c>
      <c r="B20" s="20"/>
    </row>
    <row r="21" spans="1:2" ht="14.25">
      <c r="A21" s="22"/>
      <c r="B21" s="23" t="s">
        <v>68</v>
      </c>
    </row>
    <row r="22" spans="1:5" ht="15">
      <c r="A22" s="24" t="s">
        <v>59</v>
      </c>
      <c r="B22" s="24" t="s">
        <v>60</v>
      </c>
      <c r="C22" s="24" t="s">
        <v>61</v>
      </c>
      <c r="D22" s="24" t="s">
        <v>62</v>
      </c>
      <c r="E22" s="24" t="s">
        <v>63</v>
      </c>
    </row>
    <row r="23" spans="1:5" ht="12.75">
      <c r="A23" s="21" t="s">
        <v>91</v>
      </c>
      <c r="B23" s="4" t="s">
        <v>72</v>
      </c>
      <c r="C23" s="4" t="s">
        <v>64</v>
      </c>
      <c r="D23" s="4" t="s">
        <v>97</v>
      </c>
      <c r="E23" s="25" t="s">
        <v>98</v>
      </c>
    </row>
    <row r="24" spans="1:5" ht="12.75">
      <c r="A24" s="21" t="s">
        <v>84</v>
      </c>
      <c r="B24" s="4" t="s">
        <v>99</v>
      </c>
      <c r="C24" s="4" t="s">
        <v>66</v>
      </c>
      <c r="D24" s="4" t="s">
        <v>24</v>
      </c>
      <c r="E24" s="25" t="s">
        <v>100</v>
      </c>
    </row>
    <row r="29" spans="1:2" ht="18">
      <c r="A29" s="19" t="s">
        <v>74</v>
      </c>
      <c r="B29" s="19"/>
    </row>
    <row r="30" spans="1:3" ht="15">
      <c r="A30" s="24" t="s">
        <v>75</v>
      </c>
      <c r="B30" s="24" t="s">
        <v>76</v>
      </c>
      <c r="C30" s="24" t="s">
        <v>77</v>
      </c>
    </row>
    <row r="31" spans="1:3" ht="12.75">
      <c r="A31" s="4" t="s">
        <v>88</v>
      </c>
      <c r="B31" s="4" t="s">
        <v>80</v>
      </c>
      <c r="C31" s="4" t="s">
        <v>101</v>
      </c>
    </row>
    <row r="32" spans="1:3" ht="12.75">
      <c r="A32" s="4" t="s">
        <v>21</v>
      </c>
      <c r="B32" s="4" t="s">
        <v>80</v>
      </c>
      <c r="C32" s="4" t="s">
        <v>102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E15" sqref="E15:G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3.37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2.25390625" style="4" bestFit="1" customWidth="1"/>
    <col min="14" max="16384" width="9.125" style="3" customWidth="1"/>
  </cols>
  <sheetData>
    <row r="1" spans="1:13" s="2" customFormat="1" ht="28.5" customHeight="1">
      <c r="A1" s="58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15</v>
      </c>
      <c r="H3" s="56"/>
      <c r="I3" s="56"/>
      <c r="J3" s="56"/>
      <c r="K3" s="56" t="s">
        <v>82</v>
      </c>
      <c r="L3" s="56" t="s">
        <v>6</v>
      </c>
      <c r="M3" s="44" t="s">
        <v>5</v>
      </c>
    </row>
    <row r="4" spans="1:13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55"/>
      <c r="L4" s="55"/>
      <c r="M4" s="45"/>
    </row>
    <row r="5" spans="1:12" ht="1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9" t="s">
        <v>18</v>
      </c>
      <c r="B6" s="9" t="s">
        <v>19</v>
      </c>
      <c r="C6" s="9" t="s">
        <v>20</v>
      </c>
      <c r="D6" s="9" t="str">
        <f>"0,5905"</f>
        <v>0,5905</v>
      </c>
      <c r="E6" s="9" t="s">
        <v>21</v>
      </c>
      <c r="F6" s="9" t="s">
        <v>22</v>
      </c>
      <c r="G6" s="11" t="s">
        <v>23</v>
      </c>
      <c r="H6" s="11" t="s">
        <v>24</v>
      </c>
      <c r="I6" s="11" t="s">
        <v>25</v>
      </c>
      <c r="J6" s="10"/>
      <c r="K6" s="9" t="str">
        <f>"130,0"</f>
        <v>130,0</v>
      </c>
      <c r="L6" s="11" t="str">
        <f>"76,7650"</f>
        <v>76,7650</v>
      </c>
      <c r="M6" s="9" t="s">
        <v>26</v>
      </c>
    </row>
    <row r="8" spans="1:12" ht="15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12" t="s">
        <v>29</v>
      </c>
      <c r="B9" s="12" t="s">
        <v>30</v>
      </c>
      <c r="C9" s="12" t="s">
        <v>31</v>
      </c>
      <c r="D9" s="12" t="str">
        <f>"0,5786"</f>
        <v>0,5786</v>
      </c>
      <c r="E9" s="12" t="s">
        <v>21</v>
      </c>
      <c r="F9" s="12" t="s">
        <v>22</v>
      </c>
      <c r="G9" s="14" t="s">
        <v>32</v>
      </c>
      <c r="H9" s="14" t="s">
        <v>23</v>
      </c>
      <c r="I9" s="13" t="s">
        <v>33</v>
      </c>
      <c r="J9" s="13"/>
      <c r="K9" s="12" t="str">
        <f>"120,0"</f>
        <v>120,0</v>
      </c>
      <c r="L9" s="14" t="str">
        <f>"75,8197"</f>
        <v>75,8197</v>
      </c>
      <c r="M9" s="12" t="s">
        <v>26</v>
      </c>
    </row>
    <row r="10" spans="1:13" ht="12.75">
      <c r="A10" s="15" t="s">
        <v>35</v>
      </c>
      <c r="B10" s="15" t="s">
        <v>36</v>
      </c>
      <c r="C10" s="15" t="s">
        <v>37</v>
      </c>
      <c r="D10" s="15" t="str">
        <f>"0,5765"</f>
        <v>0,5765</v>
      </c>
      <c r="E10" s="15" t="s">
        <v>38</v>
      </c>
      <c r="F10" s="15" t="s">
        <v>39</v>
      </c>
      <c r="G10" s="17" t="s">
        <v>40</v>
      </c>
      <c r="H10" s="16"/>
      <c r="I10" s="16"/>
      <c r="J10" s="16"/>
      <c r="K10" s="15" t="str">
        <f>"100,0"</f>
        <v>100,0</v>
      </c>
      <c r="L10" s="17" t="str">
        <f>"110,6880"</f>
        <v>110,6880</v>
      </c>
      <c r="M10" s="15" t="s">
        <v>41</v>
      </c>
    </row>
    <row r="12" spans="1:12" ht="15">
      <c r="A12" s="59" t="s">
        <v>42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2.75">
      <c r="A13" s="9" t="s">
        <v>44</v>
      </c>
      <c r="B13" s="9" t="s">
        <v>45</v>
      </c>
      <c r="C13" s="9" t="s">
        <v>46</v>
      </c>
      <c r="D13" s="9" t="str">
        <f>"0,5338"</f>
        <v>0,5338</v>
      </c>
      <c r="E13" s="9" t="s">
        <v>21</v>
      </c>
      <c r="F13" s="9" t="s">
        <v>22</v>
      </c>
      <c r="G13" s="11" t="s">
        <v>47</v>
      </c>
      <c r="H13" s="11" t="s">
        <v>48</v>
      </c>
      <c r="I13" s="11" t="s">
        <v>49</v>
      </c>
      <c r="J13" s="10"/>
      <c r="K13" s="9" t="str">
        <f>"190,0"</f>
        <v>190,0</v>
      </c>
      <c r="L13" s="11" t="str">
        <f>"101,4220"</f>
        <v>101,4220</v>
      </c>
      <c r="M13" s="9" t="s">
        <v>50</v>
      </c>
    </row>
    <row r="15" spans="5:6" ht="15">
      <c r="E15" s="18" t="s">
        <v>51</v>
      </c>
      <c r="F15" s="35" t="s">
        <v>613</v>
      </c>
    </row>
    <row r="16" spans="5:6" ht="15">
      <c r="E16" s="18" t="s">
        <v>52</v>
      </c>
      <c r="F16" s="35" t="s">
        <v>614</v>
      </c>
    </row>
    <row r="17" spans="5:6" ht="15">
      <c r="E17" s="18" t="s">
        <v>53</v>
      </c>
      <c r="F17" s="35" t="s">
        <v>651</v>
      </c>
    </row>
    <row r="18" spans="5:6" ht="15">
      <c r="E18" s="18" t="s">
        <v>54</v>
      </c>
      <c r="F18" s="35" t="s">
        <v>616</v>
      </c>
    </row>
    <row r="19" spans="5:6" ht="15">
      <c r="E19" s="18" t="s">
        <v>54</v>
      </c>
      <c r="F19" s="35" t="s">
        <v>617</v>
      </c>
    </row>
    <row r="20" spans="5:6" ht="15">
      <c r="E20" s="18" t="s">
        <v>55</v>
      </c>
      <c r="F20" s="35" t="s">
        <v>618</v>
      </c>
    </row>
    <row r="21" ht="15">
      <c r="E21" s="18"/>
    </row>
    <row r="22" ht="12.75">
      <c r="F22" s="3"/>
    </row>
    <row r="23" spans="1:2" ht="18">
      <c r="A23" s="19" t="s">
        <v>56</v>
      </c>
      <c r="B23" s="19"/>
    </row>
    <row r="24" spans="1:2" ht="15">
      <c r="A24" s="20" t="s">
        <v>57</v>
      </c>
      <c r="B24" s="20"/>
    </row>
    <row r="25" spans="1:2" ht="14.25">
      <c r="A25" s="22"/>
      <c r="B25" s="23" t="s">
        <v>58</v>
      </c>
    </row>
    <row r="26" spans="1:5" ht="15">
      <c r="A26" s="24" t="s">
        <v>59</v>
      </c>
      <c r="B26" s="24" t="s">
        <v>60</v>
      </c>
      <c r="C26" s="24" t="s">
        <v>61</v>
      </c>
      <c r="D26" s="24" t="s">
        <v>62</v>
      </c>
      <c r="E26" s="24" t="s">
        <v>63</v>
      </c>
    </row>
    <row r="27" spans="1:5" ht="12.75">
      <c r="A27" s="21" t="s">
        <v>43</v>
      </c>
      <c r="B27" s="4" t="s">
        <v>58</v>
      </c>
      <c r="C27" s="4" t="s">
        <v>64</v>
      </c>
      <c r="D27" s="4" t="s">
        <v>49</v>
      </c>
      <c r="E27" s="25" t="s">
        <v>65</v>
      </c>
    </row>
    <row r="28" spans="1:5" ht="12.75">
      <c r="A28" s="21" t="s">
        <v>17</v>
      </c>
      <c r="B28" s="4" t="s">
        <v>58</v>
      </c>
      <c r="C28" s="4" t="s">
        <v>66</v>
      </c>
      <c r="D28" s="4" t="s">
        <v>25</v>
      </c>
      <c r="E28" s="25" t="s">
        <v>67</v>
      </c>
    </row>
    <row r="30" spans="1:2" ht="14.25">
      <c r="A30" s="22"/>
      <c r="B30" s="23" t="s">
        <v>68</v>
      </c>
    </row>
    <row r="31" spans="1:5" ht="15">
      <c r="A31" s="24" t="s">
        <v>59</v>
      </c>
      <c r="B31" s="24" t="s">
        <v>60</v>
      </c>
      <c r="C31" s="24" t="s">
        <v>61</v>
      </c>
      <c r="D31" s="24" t="s">
        <v>62</v>
      </c>
      <c r="E31" s="24" t="s">
        <v>63</v>
      </c>
    </row>
    <row r="32" spans="1:5" ht="12.75">
      <c r="A32" s="21" t="s">
        <v>34</v>
      </c>
      <c r="B32" s="4" t="s">
        <v>69</v>
      </c>
      <c r="C32" s="4" t="s">
        <v>70</v>
      </c>
      <c r="D32" s="4" t="s">
        <v>40</v>
      </c>
      <c r="E32" s="25" t="s">
        <v>71</v>
      </c>
    </row>
    <row r="33" spans="1:5" ht="12.75">
      <c r="A33" s="21" t="s">
        <v>28</v>
      </c>
      <c r="B33" s="4" t="s">
        <v>72</v>
      </c>
      <c r="C33" s="4" t="s">
        <v>70</v>
      </c>
      <c r="D33" s="4" t="s">
        <v>23</v>
      </c>
      <c r="E33" s="25" t="s">
        <v>73</v>
      </c>
    </row>
    <row r="38" spans="1:2" ht="18">
      <c r="A38" s="19" t="s">
        <v>74</v>
      </c>
      <c r="B38" s="19"/>
    </row>
    <row r="39" spans="1:3" ht="15">
      <c r="A39" s="24" t="s">
        <v>75</v>
      </c>
      <c r="B39" s="24" t="s">
        <v>76</v>
      </c>
      <c r="C39" s="24" t="s">
        <v>77</v>
      </c>
    </row>
    <row r="40" spans="1:3" ht="12.75">
      <c r="A40" s="4" t="s">
        <v>21</v>
      </c>
      <c r="B40" s="4" t="s">
        <v>78</v>
      </c>
      <c r="C40" s="4" t="s">
        <v>79</v>
      </c>
    </row>
    <row r="41" spans="1:3" ht="12.75">
      <c r="A41" s="4" t="s">
        <v>38</v>
      </c>
      <c r="B41" s="4" t="s">
        <v>80</v>
      </c>
      <c r="C41" s="4" t="s">
        <v>81</v>
      </c>
    </row>
  </sheetData>
  <sheetProtection/>
  <mergeCells count="14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A12:L12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3" sqref="D8: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5.125" style="4" customWidth="1"/>
    <col min="7" max="7" width="17.25390625" style="4" bestFit="1" customWidth="1"/>
    <col min="8" max="8" width="6.00390625" style="3" customWidth="1"/>
    <col min="9" max="9" width="10.75390625" style="31" customWidth="1"/>
    <col min="10" max="10" width="12.00390625" style="4" customWidth="1"/>
    <col min="11" max="11" width="13.25390625" style="3" customWidth="1"/>
    <col min="12" max="12" width="26.875" style="4" customWidth="1"/>
    <col min="13" max="16384" width="9.125" style="3" customWidth="1"/>
  </cols>
  <sheetData>
    <row r="1" spans="1:12" s="2" customFormat="1" ht="28.5" customHeight="1">
      <c r="A1" s="58" t="s">
        <v>628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" customFormat="1" ht="12.75" customHeight="1">
      <c r="A3" s="52" t="s">
        <v>0</v>
      </c>
      <c r="B3" s="54" t="s">
        <v>10</v>
      </c>
      <c r="C3" s="54" t="s">
        <v>11</v>
      </c>
      <c r="D3" s="56"/>
      <c r="E3" s="56" t="s">
        <v>7</v>
      </c>
      <c r="F3" s="7"/>
      <c r="G3" s="56" t="s">
        <v>12</v>
      </c>
      <c r="H3" s="56" t="s">
        <v>2</v>
      </c>
      <c r="I3" s="56"/>
      <c r="J3" s="56" t="s">
        <v>553</v>
      </c>
      <c r="K3" s="56" t="s">
        <v>6</v>
      </c>
      <c r="L3" s="44" t="s">
        <v>5</v>
      </c>
    </row>
    <row r="4" spans="1:12" s="1" customFormat="1" ht="21" customHeight="1" thickBot="1">
      <c r="A4" s="53"/>
      <c r="B4" s="55"/>
      <c r="C4" s="55"/>
      <c r="D4" s="55"/>
      <c r="E4" s="55"/>
      <c r="F4" s="8"/>
      <c r="G4" s="55"/>
      <c r="H4" s="8" t="s">
        <v>551</v>
      </c>
      <c r="I4" s="29" t="s">
        <v>552</v>
      </c>
      <c r="J4" s="55"/>
      <c r="K4" s="55"/>
      <c r="L4" s="45"/>
    </row>
    <row r="5" s="1" customFormat="1" ht="21" customHeight="1">
      <c r="I5" s="36"/>
    </row>
    <row r="6" spans="1:12" s="1" customFormat="1" ht="21" customHeight="1">
      <c r="A6" s="1" t="s">
        <v>605</v>
      </c>
      <c r="B6" s="1" t="s">
        <v>621</v>
      </c>
      <c r="C6" s="1" t="s">
        <v>622</v>
      </c>
      <c r="E6" s="1" t="s">
        <v>623</v>
      </c>
      <c r="G6" s="1" t="s">
        <v>624</v>
      </c>
      <c r="H6" s="1" t="s">
        <v>625</v>
      </c>
      <c r="I6" s="36">
        <v>31</v>
      </c>
      <c r="J6" s="1" t="s">
        <v>626</v>
      </c>
      <c r="L6" s="1" t="s">
        <v>627</v>
      </c>
    </row>
    <row r="8" spans="5:6" ht="15">
      <c r="E8" s="18" t="s">
        <v>51</v>
      </c>
      <c r="F8" s="18" t="s">
        <v>619</v>
      </c>
    </row>
    <row r="9" spans="5:6" ht="15">
      <c r="E9" s="18" t="s">
        <v>52</v>
      </c>
      <c r="F9" s="18" t="s">
        <v>614</v>
      </c>
    </row>
    <row r="10" spans="5:6" ht="15">
      <c r="E10" s="18" t="s">
        <v>53</v>
      </c>
      <c r="F10" s="18" t="s">
        <v>620</v>
      </c>
    </row>
    <row r="11" spans="5:6" ht="15">
      <c r="E11" s="18" t="s">
        <v>54</v>
      </c>
      <c r="F11" s="18" t="s">
        <v>616</v>
      </c>
    </row>
    <row r="12" spans="5:6" ht="15">
      <c r="E12" s="18" t="s">
        <v>54</v>
      </c>
      <c r="F12" s="18" t="s">
        <v>617</v>
      </c>
    </row>
    <row r="13" spans="5:6" ht="15">
      <c r="E13" s="18" t="s">
        <v>55</v>
      </c>
      <c r="F13" s="18" t="s">
        <v>618</v>
      </c>
    </row>
    <row r="14" spans="5:6" ht="15">
      <c r="E14" s="18"/>
      <c r="F14" s="18"/>
    </row>
    <row r="16" spans="1:2" ht="18">
      <c r="A16" s="19" t="s">
        <v>56</v>
      </c>
      <c r="B16" s="19"/>
    </row>
  </sheetData>
  <sheetProtection/>
  <mergeCells count="11">
    <mergeCell ref="J3:J4"/>
    <mergeCell ref="K3:K4"/>
    <mergeCell ref="L3:L4"/>
    <mergeCell ref="A1:L2"/>
    <mergeCell ref="A3:A4"/>
    <mergeCell ref="B3:B4"/>
    <mergeCell ref="C3:C4"/>
    <mergeCell ref="D3:D4"/>
    <mergeCell ref="E3:E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16" sqref="E11:F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7.25390625" style="4" bestFit="1" customWidth="1"/>
    <col min="4" max="4" width="10.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22.25390625" style="4" bestFit="1" customWidth="1"/>
    <col min="12" max="16384" width="9.125" style="3" customWidth="1"/>
  </cols>
  <sheetData>
    <row r="1" spans="1:11" s="2" customFormat="1" ht="28.5" customHeight="1">
      <c r="A1" s="58" t="s">
        <v>584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11</v>
      </c>
      <c r="D3" s="56" t="s">
        <v>565</v>
      </c>
      <c r="E3" s="56" t="s">
        <v>7</v>
      </c>
      <c r="F3" s="56" t="s">
        <v>12</v>
      </c>
      <c r="G3" s="56" t="s">
        <v>566</v>
      </c>
      <c r="H3" s="56"/>
      <c r="I3" s="56" t="s">
        <v>553</v>
      </c>
      <c r="J3" s="56" t="s">
        <v>6</v>
      </c>
      <c r="K3" s="44" t="s">
        <v>5</v>
      </c>
    </row>
    <row r="4" spans="1:11" s="1" customFormat="1" ht="21" customHeight="1" thickBot="1">
      <c r="A4" s="53"/>
      <c r="B4" s="55"/>
      <c r="C4" s="55"/>
      <c r="D4" s="55"/>
      <c r="E4" s="55"/>
      <c r="F4" s="55"/>
      <c r="G4" s="8" t="s">
        <v>551</v>
      </c>
      <c r="H4" s="29" t="s">
        <v>552</v>
      </c>
      <c r="I4" s="55"/>
      <c r="J4" s="55"/>
      <c r="K4" s="45"/>
    </row>
    <row r="5" spans="1:10" ht="15">
      <c r="A5" s="57" t="s">
        <v>567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12" t="s">
        <v>586</v>
      </c>
      <c r="B6" s="12" t="s">
        <v>587</v>
      </c>
      <c r="C6" s="12" t="s">
        <v>588</v>
      </c>
      <c r="D6" s="12" t="str">
        <f>"1,0000"</f>
        <v>1,0000</v>
      </c>
      <c r="E6" s="12" t="s">
        <v>21</v>
      </c>
      <c r="F6" s="12" t="s">
        <v>129</v>
      </c>
      <c r="G6" s="14" t="s">
        <v>121</v>
      </c>
      <c r="H6" s="32" t="s">
        <v>589</v>
      </c>
      <c r="I6" s="12" t="str">
        <f>"5170,0"</f>
        <v>5170,0</v>
      </c>
      <c r="J6" s="14" t="str">
        <f>"53,5751"</f>
        <v>53,5751</v>
      </c>
      <c r="K6" s="12" t="s">
        <v>590</v>
      </c>
    </row>
    <row r="7" spans="1:11" ht="12.75">
      <c r="A7" s="26" t="s">
        <v>591</v>
      </c>
      <c r="B7" s="26" t="s">
        <v>385</v>
      </c>
      <c r="C7" s="26" t="s">
        <v>386</v>
      </c>
      <c r="D7" s="26" t="str">
        <f>"1,0000"</f>
        <v>1,0000</v>
      </c>
      <c r="E7" s="26" t="s">
        <v>120</v>
      </c>
      <c r="F7" s="26" t="s">
        <v>387</v>
      </c>
      <c r="G7" s="28" t="s">
        <v>121</v>
      </c>
      <c r="H7" s="33" t="s">
        <v>351</v>
      </c>
      <c r="I7" s="26" t="str">
        <f>"2750,0"</f>
        <v>2750,0</v>
      </c>
      <c r="J7" s="28" t="str">
        <f>"37,8266"</f>
        <v>37,8266</v>
      </c>
      <c r="K7" s="26" t="s">
        <v>26</v>
      </c>
    </row>
    <row r="8" spans="1:11" ht="12.75">
      <c r="A8" s="26" t="s">
        <v>593</v>
      </c>
      <c r="B8" s="26" t="s">
        <v>594</v>
      </c>
      <c r="C8" s="26" t="s">
        <v>595</v>
      </c>
      <c r="D8" s="26" t="str">
        <f>"1,0000"</f>
        <v>1,0000</v>
      </c>
      <c r="E8" s="26" t="s">
        <v>21</v>
      </c>
      <c r="F8" s="26" t="s">
        <v>22</v>
      </c>
      <c r="G8" s="28" t="s">
        <v>121</v>
      </c>
      <c r="H8" s="33" t="s">
        <v>121</v>
      </c>
      <c r="I8" s="26" t="str">
        <f>"3025,0"</f>
        <v>3025,0</v>
      </c>
      <c r="J8" s="28" t="str">
        <f>"31,7418"</f>
        <v>31,7418</v>
      </c>
      <c r="K8" s="26" t="s">
        <v>26</v>
      </c>
    </row>
    <row r="9" spans="1:11" ht="12.75">
      <c r="A9" s="15" t="s">
        <v>35</v>
      </c>
      <c r="B9" s="15" t="s">
        <v>36</v>
      </c>
      <c r="C9" s="15" t="s">
        <v>37</v>
      </c>
      <c r="D9" s="15" t="str">
        <f>"1,0000"</f>
        <v>1,0000</v>
      </c>
      <c r="E9" s="15" t="s">
        <v>38</v>
      </c>
      <c r="F9" s="15" t="s">
        <v>39</v>
      </c>
      <c r="G9" s="17" t="s">
        <v>121</v>
      </c>
      <c r="H9" s="34" t="s">
        <v>121</v>
      </c>
      <c r="I9" s="15" t="str">
        <f>"3025,0"</f>
        <v>3025,0</v>
      </c>
      <c r="J9" s="17" t="str">
        <f>"32,7380"</f>
        <v>32,7380</v>
      </c>
      <c r="K9" s="15" t="s">
        <v>41</v>
      </c>
    </row>
    <row r="11" spans="5:6" ht="15">
      <c r="E11" s="18" t="s">
        <v>51</v>
      </c>
      <c r="F11" s="35" t="s">
        <v>613</v>
      </c>
    </row>
    <row r="12" spans="5:6" ht="15">
      <c r="E12" s="18" t="s">
        <v>52</v>
      </c>
      <c r="F12" s="35" t="s">
        <v>614</v>
      </c>
    </row>
    <row r="13" spans="5:6" ht="15">
      <c r="E13" s="18" t="s">
        <v>53</v>
      </c>
      <c r="F13" s="35" t="s">
        <v>615</v>
      </c>
    </row>
    <row r="14" spans="5:6" ht="15">
      <c r="E14" s="18" t="s">
        <v>54</v>
      </c>
      <c r="F14" s="35" t="s">
        <v>616</v>
      </c>
    </row>
    <row r="15" spans="5:6" ht="15">
      <c r="E15" s="18" t="s">
        <v>54</v>
      </c>
      <c r="F15" s="35" t="s">
        <v>617</v>
      </c>
    </row>
    <row r="16" spans="5:6" ht="15">
      <c r="E16" s="18" t="s">
        <v>55</v>
      </c>
      <c r="F16" s="35" t="s">
        <v>618</v>
      </c>
    </row>
    <row r="17" ht="15">
      <c r="E17" s="18"/>
    </row>
    <row r="19" spans="1:2" ht="18">
      <c r="A19" s="19" t="s">
        <v>56</v>
      </c>
      <c r="B19" s="19"/>
    </row>
    <row r="20" spans="1:2" ht="15">
      <c r="A20" s="20" t="s">
        <v>57</v>
      </c>
      <c r="B20" s="20"/>
    </row>
    <row r="21" spans="1:2" ht="14.25">
      <c r="A21" s="22"/>
      <c r="B21" s="23" t="s">
        <v>58</v>
      </c>
    </row>
    <row r="22" spans="1:5" ht="15">
      <c r="A22" s="24" t="s">
        <v>59</v>
      </c>
      <c r="B22" s="24" t="s">
        <v>60</v>
      </c>
      <c r="C22" s="24" t="s">
        <v>61</v>
      </c>
      <c r="D22" s="24" t="s">
        <v>62</v>
      </c>
      <c r="E22" s="24" t="s">
        <v>573</v>
      </c>
    </row>
    <row r="23" spans="1:5" ht="12.75">
      <c r="A23" s="21" t="s">
        <v>585</v>
      </c>
      <c r="B23" s="4" t="s">
        <v>58</v>
      </c>
      <c r="C23" s="4" t="s">
        <v>574</v>
      </c>
      <c r="D23" s="4" t="s">
        <v>596</v>
      </c>
      <c r="E23" s="25" t="s">
        <v>597</v>
      </c>
    </row>
    <row r="24" spans="1:5" ht="12.75">
      <c r="A24" s="21" t="s">
        <v>383</v>
      </c>
      <c r="B24" s="4" t="s">
        <v>58</v>
      </c>
      <c r="C24" s="4" t="s">
        <v>574</v>
      </c>
      <c r="D24" s="4" t="s">
        <v>598</v>
      </c>
      <c r="E24" s="25" t="s">
        <v>599</v>
      </c>
    </row>
    <row r="26" spans="1:2" ht="14.25">
      <c r="A26" s="22"/>
      <c r="B26" s="23" t="s">
        <v>68</v>
      </c>
    </row>
    <row r="27" spans="1:5" ht="15">
      <c r="A27" s="24" t="s">
        <v>59</v>
      </c>
      <c r="B27" s="24" t="s">
        <v>60</v>
      </c>
      <c r="C27" s="24" t="s">
        <v>61</v>
      </c>
      <c r="D27" s="24" t="s">
        <v>62</v>
      </c>
      <c r="E27" s="24" t="s">
        <v>573</v>
      </c>
    </row>
    <row r="28" spans="1:5" ht="12.75">
      <c r="A28" s="21" t="s">
        <v>34</v>
      </c>
      <c r="B28" s="4" t="s">
        <v>69</v>
      </c>
      <c r="C28" s="4" t="s">
        <v>574</v>
      </c>
      <c r="D28" s="4" t="s">
        <v>600</v>
      </c>
      <c r="E28" s="25" t="s">
        <v>601</v>
      </c>
    </row>
    <row r="29" spans="1:5" ht="12.75">
      <c r="A29" s="21" t="s">
        <v>592</v>
      </c>
      <c r="B29" s="4" t="s">
        <v>602</v>
      </c>
      <c r="C29" s="4" t="s">
        <v>574</v>
      </c>
      <c r="D29" s="4" t="s">
        <v>600</v>
      </c>
      <c r="E29" s="25" t="s">
        <v>603</v>
      </c>
    </row>
    <row r="34" spans="1:2" ht="18">
      <c r="A34" s="19" t="s">
        <v>74</v>
      </c>
      <c r="B34" s="19"/>
    </row>
    <row r="35" spans="1:3" ht="15">
      <c r="A35" s="24" t="s">
        <v>75</v>
      </c>
      <c r="B35" s="24" t="s">
        <v>76</v>
      </c>
      <c r="C35" s="24" t="s">
        <v>77</v>
      </c>
    </row>
    <row r="36" spans="1:3" ht="12.75">
      <c r="A36" s="4" t="s">
        <v>21</v>
      </c>
      <c r="B36" s="4" t="s">
        <v>232</v>
      </c>
      <c r="C36" s="4" t="s">
        <v>604</v>
      </c>
    </row>
    <row r="37" spans="1:3" ht="12.75">
      <c r="A37" s="4" t="s">
        <v>38</v>
      </c>
      <c r="B37" s="4" t="s">
        <v>80</v>
      </c>
      <c r="C37" s="4" t="s">
        <v>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14" sqref="B8:C14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375" style="4" bestFit="1" customWidth="1"/>
    <col min="4" max="4" width="10.625" style="4" bestFit="1" customWidth="1"/>
    <col min="5" max="5" width="22.75390625" style="4" bestFit="1" customWidth="1"/>
    <col min="6" max="6" width="28.37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15.00390625" style="4" bestFit="1" customWidth="1"/>
    <col min="12" max="16384" width="9.125" style="3" customWidth="1"/>
  </cols>
  <sheetData>
    <row r="1" spans="1:11" s="2" customFormat="1" ht="28.5" customHeight="1">
      <c r="A1" s="58" t="s">
        <v>578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11</v>
      </c>
      <c r="D3" s="56" t="s">
        <v>565</v>
      </c>
      <c r="E3" s="56" t="s">
        <v>7</v>
      </c>
      <c r="F3" s="56" t="s">
        <v>12</v>
      </c>
      <c r="G3" s="56" t="s">
        <v>566</v>
      </c>
      <c r="H3" s="56"/>
      <c r="I3" s="56" t="s">
        <v>553</v>
      </c>
      <c r="J3" s="56" t="s">
        <v>6</v>
      </c>
      <c r="K3" s="44" t="s">
        <v>5</v>
      </c>
    </row>
    <row r="4" spans="1:11" s="1" customFormat="1" ht="21" customHeight="1" thickBot="1">
      <c r="A4" s="53"/>
      <c r="B4" s="55"/>
      <c r="C4" s="55"/>
      <c r="D4" s="55"/>
      <c r="E4" s="55"/>
      <c r="F4" s="55"/>
      <c r="G4" s="8" t="s">
        <v>551</v>
      </c>
      <c r="H4" s="29" t="s">
        <v>552</v>
      </c>
      <c r="I4" s="55"/>
      <c r="J4" s="55"/>
      <c r="K4" s="45"/>
    </row>
    <row r="5" spans="1:10" ht="15">
      <c r="A5" s="57" t="s">
        <v>567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9" t="s">
        <v>126</v>
      </c>
      <c r="B6" s="9" t="s">
        <v>127</v>
      </c>
      <c r="C6" s="9" t="s">
        <v>128</v>
      </c>
      <c r="D6" s="9" t="str">
        <f>"1,0000"</f>
        <v>1,0000</v>
      </c>
      <c r="E6" s="9" t="s">
        <v>21</v>
      </c>
      <c r="F6" s="9" t="s">
        <v>129</v>
      </c>
      <c r="G6" s="11" t="s">
        <v>579</v>
      </c>
      <c r="H6" s="30" t="s">
        <v>580</v>
      </c>
      <c r="I6" s="9" t="str">
        <f>"1470,0"</f>
        <v>1470,0</v>
      </c>
      <c r="J6" s="11" t="str">
        <f>"21,8424"</f>
        <v>21,8424</v>
      </c>
      <c r="K6" s="9" t="s">
        <v>131</v>
      </c>
    </row>
    <row r="8" spans="2:5" ht="15">
      <c r="B8" s="18" t="s">
        <v>51</v>
      </c>
      <c r="C8" s="35" t="s">
        <v>613</v>
      </c>
      <c r="E8" s="18"/>
    </row>
    <row r="9" spans="2:5" ht="15">
      <c r="B9" s="18" t="s">
        <v>52</v>
      </c>
      <c r="C9" s="35" t="s">
        <v>614</v>
      </c>
      <c r="E9" s="18"/>
    </row>
    <row r="10" spans="2:5" ht="15">
      <c r="B10" s="18" t="s">
        <v>53</v>
      </c>
      <c r="C10" s="35" t="s">
        <v>615</v>
      </c>
      <c r="E10" s="18"/>
    </row>
    <row r="11" spans="2:5" ht="15">
      <c r="B11" s="18" t="s">
        <v>54</v>
      </c>
      <c r="C11" s="35" t="s">
        <v>616</v>
      </c>
      <c r="E11" s="18"/>
    </row>
    <row r="12" spans="2:5" ht="15">
      <c r="B12" s="18" t="s">
        <v>54</v>
      </c>
      <c r="C12" s="35" t="s">
        <v>617</v>
      </c>
      <c r="E12" s="18"/>
    </row>
    <row r="13" spans="2:5" ht="15">
      <c r="B13" s="18" t="s">
        <v>55</v>
      </c>
      <c r="C13" s="35" t="s">
        <v>618</v>
      </c>
      <c r="E13" s="18"/>
    </row>
    <row r="14" ht="15">
      <c r="E14" s="18"/>
    </row>
    <row r="16" spans="1:2" ht="18">
      <c r="A16" s="19" t="s">
        <v>56</v>
      </c>
      <c r="B16" s="19"/>
    </row>
    <row r="17" spans="1:2" ht="15">
      <c r="A17" s="20" t="s">
        <v>207</v>
      </c>
      <c r="B17" s="20"/>
    </row>
    <row r="18" spans="1:2" ht="14.25">
      <c r="A18" s="22"/>
      <c r="B18" s="23" t="s">
        <v>58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573</v>
      </c>
    </row>
    <row r="20" spans="1:5" ht="12.75">
      <c r="A20" s="21" t="s">
        <v>125</v>
      </c>
      <c r="B20" s="4" t="s">
        <v>58</v>
      </c>
      <c r="C20" s="4" t="s">
        <v>574</v>
      </c>
      <c r="D20" s="4" t="s">
        <v>581</v>
      </c>
      <c r="E20" s="25" t="s">
        <v>582</v>
      </c>
    </row>
    <row r="25" spans="1:2" ht="18">
      <c r="A25" s="19" t="s">
        <v>74</v>
      </c>
      <c r="B25" s="19"/>
    </row>
    <row r="26" spans="1:3" ht="15">
      <c r="A26" s="24" t="s">
        <v>75</v>
      </c>
      <c r="B26" s="24" t="s">
        <v>76</v>
      </c>
      <c r="C26" s="24" t="s">
        <v>77</v>
      </c>
    </row>
    <row r="27" spans="1:3" ht="12.75">
      <c r="A27" s="4" t="s">
        <v>21</v>
      </c>
      <c r="B27" s="4" t="s">
        <v>80</v>
      </c>
      <c r="C27" s="4" t="s">
        <v>583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0" sqref="E10:F1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75390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1" bestFit="1" customWidth="1"/>
    <col min="9" max="9" width="7.875" style="4" bestFit="1" customWidth="1"/>
    <col min="10" max="10" width="8.625" style="3" bestFit="1" customWidth="1"/>
    <col min="11" max="11" width="12.375" style="4" bestFit="1" customWidth="1"/>
    <col min="12" max="16384" width="9.125" style="3" customWidth="1"/>
  </cols>
  <sheetData>
    <row r="1" spans="1:11" s="2" customFormat="1" ht="28.5" customHeight="1">
      <c r="A1" s="58" t="s">
        <v>564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11</v>
      </c>
      <c r="D3" s="56" t="s">
        <v>565</v>
      </c>
      <c r="E3" s="56" t="s">
        <v>7</v>
      </c>
      <c r="F3" s="56" t="s">
        <v>12</v>
      </c>
      <c r="G3" s="56" t="s">
        <v>566</v>
      </c>
      <c r="H3" s="56"/>
      <c r="I3" s="56" t="s">
        <v>553</v>
      </c>
      <c r="J3" s="56" t="s">
        <v>6</v>
      </c>
      <c r="K3" s="44" t="s">
        <v>5</v>
      </c>
    </row>
    <row r="4" spans="1:11" s="1" customFormat="1" ht="21" customHeight="1" thickBot="1">
      <c r="A4" s="53"/>
      <c r="B4" s="55"/>
      <c r="C4" s="55"/>
      <c r="D4" s="55"/>
      <c r="E4" s="55"/>
      <c r="F4" s="55"/>
      <c r="G4" s="8" t="s">
        <v>551</v>
      </c>
      <c r="H4" s="29" t="s">
        <v>552</v>
      </c>
      <c r="I4" s="55"/>
      <c r="J4" s="55"/>
      <c r="K4" s="45"/>
    </row>
    <row r="5" spans="1:10" ht="15">
      <c r="A5" s="57" t="s">
        <v>567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9" t="s">
        <v>569</v>
      </c>
      <c r="B6" s="9" t="s">
        <v>570</v>
      </c>
      <c r="C6" s="9" t="s">
        <v>571</v>
      </c>
      <c r="D6" s="9" t="str">
        <f>"1,0000"</f>
        <v>1,0000</v>
      </c>
      <c r="E6" s="9" t="s">
        <v>21</v>
      </c>
      <c r="F6" s="9" t="s">
        <v>22</v>
      </c>
      <c r="G6" s="11" t="s">
        <v>121</v>
      </c>
      <c r="H6" s="30" t="s">
        <v>333</v>
      </c>
      <c r="I6" s="9" t="str">
        <f>"14850,0"</f>
        <v>14850,0</v>
      </c>
      <c r="J6" s="11" t="str">
        <f>"157,4761"</f>
        <v>157,4761</v>
      </c>
      <c r="K6" s="9" t="s">
        <v>572</v>
      </c>
    </row>
    <row r="8" ht="15">
      <c r="E8" s="18"/>
    </row>
    <row r="9" ht="15">
      <c r="E9" s="18"/>
    </row>
    <row r="10" spans="5:6" ht="15">
      <c r="E10" s="18" t="s">
        <v>51</v>
      </c>
      <c r="F10" s="35" t="s">
        <v>613</v>
      </c>
    </row>
    <row r="11" spans="5:6" ht="15">
      <c r="E11" s="18" t="s">
        <v>52</v>
      </c>
      <c r="F11" s="35" t="s">
        <v>614</v>
      </c>
    </row>
    <row r="12" spans="5:6" ht="15">
      <c r="E12" s="18" t="s">
        <v>53</v>
      </c>
      <c r="F12" s="35" t="s">
        <v>615</v>
      </c>
    </row>
    <row r="13" spans="5:6" ht="15">
      <c r="E13" s="18" t="s">
        <v>54</v>
      </c>
      <c r="F13" s="35" t="s">
        <v>616</v>
      </c>
    </row>
    <row r="14" spans="5:6" ht="15">
      <c r="E14" s="18" t="s">
        <v>54</v>
      </c>
      <c r="F14" s="35" t="s">
        <v>617</v>
      </c>
    </row>
    <row r="15" spans="5:6" ht="15">
      <c r="E15" s="18" t="s">
        <v>55</v>
      </c>
      <c r="F15" s="35" t="s">
        <v>618</v>
      </c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68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573</v>
      </c>
    </row>
    <row r="20" spans="1:5" ht="12.75">
      <c r="A20" s="21" t="s">
        <v>568</v>
      </c>
      <c r="B20" s="4" t="s">
        <v>72</v>
      </c>
      <c r="C20" s="4" t="s">
        <v>574</v>
      </c>
      <c r="D20" s="4" t="s">
        <v>575</v>
      </c>
      <c r="E20" s="25" t="s">
        <v>576</v>
      </c>
    </row>
    <row r="25" spans="1:2" ht="18">
      <c r="A25" s="19" t="s">
        <v>74</v>
      </c>
      <c r="B25" s="19"/>
    </row>
    <row r="26" spans="1:3" ht="15">
      <c r="A26" s="24" t="s">
        <v>75</v>
      </c>
      <c r="B26" s="24" t="s">
        <v>76</v>
      </c>
      <c r="C26" s="24" t="s">
        <v>77</v>
      </c>
    </row>
    <row r="27" spans="1:3" ht="12.75">
      <c r="A27" s="4" t="s">
        <v>21</v>
      </c>
      <c r="B27" s="4" t="s">
        <v>80</v>
      </c>
      <c r="C27" s="4" t="s">
        <v>577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25390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1" bestFit="1" customWidth="1"/>
    <col min="9" max="9" width="7.875" style="4" bestFit="1" customWidth="1"/>
    <col min="10" max="10" width="9.625" style="3" bestFit="1" customWidth="1"/>
    <col min="11" max="11" width="9.75390625" style="4" bestFit="1" customWidth="1"/>
    <col min="12" max="16384" width="9.125" style="3" customWidth="1"/>
  </cols>
  <sheetData>
    <row r="1" spans="1:11" s="2" customFormat="1" ht="28.5" customHeight="1">
      <c r="A1" s="58" t="s">
        <v>554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11</v>
      </c>
      <c r="D3" s="56" t="s">
        <v>520</v>
      </c>
      <c r="E3" s="56" t="s">
        <v>7</v>
      </c>
      <c r="F3" s="56" t="s">
        <v>12</v>
      </c>
      <c r="G3" s="56" t="s">
        <v>521</v>
      </c>
      <c r="H3" s="56"/>
      <c r="I3" s="56" t="s">
        <v>553</v>
      </c>
      <c r="J3" s="56" t="s">
        <v>6</v>
      </c>
      <c r="K3" s="44" t="s">
        <v>5</v>
      </c>
    </row>
    <row r="4" spans="1:11" s="1" customFormat="1" ht="21" customHeight="1" thickBot="1">
      <c r="A4" s="53"/>
      <c r="B4" s="55"/>
      <c r="C4" s="55"/>
      <c r="D4" s="55"/>
      <c r="E4" s="55"/>
      <c r="F4" s="55"/>
      <c r="G4" s="8" t="s">
        <v>551</v>
      </c>
      <c r="H4" s="29" t="s">
        <v>552</v>
      </c>
      <c r="I4" s="55"/>
      <c r="J4" s="55"/>
      <c r="K4" s="45"/>
    </row>
    <row r="5" spans="1:10" ht="15">
      <c r="A5" s="57" t="s">
        <v>115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9" t="s">
        <v>556</v>
      </c>
      <c r="B6" s="9" t="s">
        <v>557</v>
      </c>
      <c r="C6" s="9" t="s">
        <v>558</v>
      </c>
      <c r="D6" s="9" t="str">
        <f>"1,8375"</f>
        <v>1,8375</v>
      </c>
      <c r="E6" s="9" t="s">
        <v>21</v>
      </c>
      <c r="F6" s="9" t="s">
        <v>22</v>
      </c>
      <c r="G6" s="11" t="s">
        <v>559</v>
      </c>
      <c r="H6" s="30" t="s">
        <v>40</v>
      </c>
      <c r="I6" s="9" t="str">
        <f>"1700,0"</f>
        <v>1700,0</v>
      </c>
      <c r="J6" s="11" t="str">
        <f>"3123,7500"</f>
        <v>3123,7500</v>
      </c>
      <c r="K6" s="9" t="s">
        <v>560</v>
      </c>
    </row>
    <row r="8" spans="5:6" ht="15">
      <c r="E8" s="18" t="s">
        <v>51</v>
      </c>
      <c r="F8" s="35" t="s">
        <v>613</v>
      </c>
    </row>
    <row r="9" spans="5:6" ht="15">
      <c r="E9" s="18" t="s">
        <v>52</v>
      </c>
      <c r="F9" s="35" t="s">
        <v>614</v>
      </c>
    </row>
    <row r="10" spans="5:6" ht="15">
      <c r="E10" s="18" t="s">
        <v>53</v>
      </c>
      <c r="F10" s="35" t="s">
        <v>615</v>
      </c>
    </row>
    <row r="11" spans="5:6" ht="15">
      <c r="E11" s="18" t="s">
        <v>54</v>
      </c>
      <c r="F11" s="35" t="s">
        <v>616</v>
      </c>
    </row>
    <row r="12" spans="5:6" ht="15">
      <c r="E12" s="18" t="s">
        <v>54</v>
      </c>
      <c r="F12" s="35" t="s">
        <v>617</v>
      </c>
    </row>
    <row r="13" spans="5:6" ht="15">
      <c r="E13" s="18" t="s">
        <v>55</v>
      </c>
      <c r="F13" s="35" t="s">
        <v>618</v>
      </c>
    </row>
    <row r="14" ht="15">
      <c r="E14" s="18"/>
    </row>
    <row r="16" spans="1:2" ht="18">
      <c r="A16" s="19" t="s">
        <v>56</v>
      </c>
      <c r="B16" s="19"/>
    </row>
    <row r="17" spans="1:2" ht="15">
      <c r="A17" s="20" t="s">
        <v>57</v>
      </c>
      <c r="B17" s="20"/>
    </row>
    <row r="18" spans="1:2" ht="14.25">
      <c r="A18" s="22"/>
      <c r="B18" s="23" t="s">
        <v>337</v>
      </c>
    </row>
    <row r="19" spans="1:5" ht="15">
      <c r="A19" s="24" t="s">
        <v>59</v>
      </c>
      <c r="B19" s="24" t="s">
        <v>60</v>
      </c>
      <c r="C19" s="24" t="s">
        <v>61</v>
      </c>
      <c r="D19" s="24" t="s">
        <v>62</v>
      </c>
      <c r="E19" s="24" t="s">
        <v>541</v>
      </c>
    </row>
    <row r="20" spans="1:5" ht="12.75">
      <c r="A20" s="21" t="s">
        <v>555</v>
      </c>
      <c r="B20" s="4" t="s">
        <v>476</v>
      </c>
      <c r="C20" s="4" t="s">
        <v>210</v>
      </c>
      <c r="D20" s="4" t="s">
        <v>561</v>
      </c>
      <c r="E20" s="25" t="s">
        <v>562</v>
      </c>
    </row>
    <row r="25" spans="1:2" ht="18">
      <c r="A25" s="19" t="s">
        <v>74</v>
      </c>
      <c r="B25" s="19"/>
    </row>
    <row r="26" spans="1:3" ht="15">
      <c r="A26" s="24" t="s">
        <v>75</v>
      </c>
      <c r="B26" s="24" t="s">
        <v>76</v>
      </c>
      <c r="C26" s="24" t="s">
        <v>77</v>
      </c>
    </row>
    <row r="27" spans="1:3" ht="12.75">
      <c r="A27" s="4" t="s">
        <v>21</v>
      </c>
      <c r="B27" s="4" t="s">
        <v>80</v>
      </c>
      <c r="C27" s="4" t="s">
        <v>563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E17" sqref="E17:F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4.75390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8" t="s">
        <v>519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11</v>
      </c>
      <c r="D3" s="56" t="s">
        <v>520</v>
      </c>
      <c r="E3" s="56" t="s">
        <v>7</v>
      </c>
      <c r="F3" s="56" t="s">
        <v>12</v>
      </c>
      <c r="G3" s="56" t="s">
        <v>521</v>
      </c>
      <c r="H3" s="56"/>
      <c r="I3" s="56" t="s">
        <v>553</v>
      </c>
      <c r="J3" s="56" t="s">
        <v>6</v>
      </c>
      <c r="K3" s="44" t="s">
        <v>5</v>
      </c>
    </row>
    <row r="4" spans="1:11" s="1" customFormat="1" ht="21" customHeight="1" thickBot="1">
      <c r="A4" s="53"/>
      <c r="B4" s="55"/>
      <c r="C4" s="55"/>
      <c r="D4" s="55"/>
      <c r="E4" s="55"/>
      <c r="F4" s="55"/>
      <c r="G4" s="8" t="s">
        <v>551</v>
      </c>
      <c r="H4" s="29" t="s">
        <v>552</v>
      </c>
      <c r="I4" s="55"/>
      <c r="J4" s="55"/>
      <c r="K4" s="45"/>
    </row>
    <row r="5" spans="1:10" ht="1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9" t="s">
        <v>523</v>
      </c>
      <c r="B6" s="9" t="s">
        <v>524</v>
      </c>
      <c r="C6" s="9" t="s">
        <v>525</v>
      </c>
      <c r="D6" s="9" t="str">
        <f>"0,7912"</f>
        <v>0,7912</v>
      </c>
      <c r="E6" s="9" t="s">
        <v>120</v>
      </c>
      <c r="F6" s="9" t="s">
        <v>526</v>
      </c>
      <c r="G6" s="11" t="s">
        <v>110</v>
      </c>
      <c r="H6" s="30" t="s">
        <v>527</v>
      </c>
      <c r="I6" s="9" t="str">
        <f>"2550,0"</f>
        <v>2550,0</v>
      </c>
      <c r="J6" s="11" t="str">
        <f>"2017,5600"</f>
        <v>2017,5600</v>
      </c>
      <c r="K6" s="9" t="s">
        <v>26</v>
      </c>
    </row>
    <row r="8" spans="1:10" ht="15">
      <c r="A8" s="59" t="s">
        <v>154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ht="12.75">
      <c r="A9" s="9" t="s">
        <v>529</v>
      </c>
      <c r="B9" s="9" t="s">
        <v>530</v>
      </c>
      <c r="C9" s="9" t="s">
        <v>531</v>
      </c>
      <c r="D9" s="9" t="str">
        <f>"0,7909"</f>
        <v>0,7909</v>
      </c>
      <c r="E9" s="9" t="s">
        <v>21</v>
      </c>
      <c r="F9" s="9" t="s">
        <v>129</v>
      </c>
      <c r="G9" s="11" t="s">
        <v>136</v>
      </c>
      <c r="H9" s="30" t="s">
        <v>532</v>
      </c>
      <c r="I9" s="9" t="str">
        <f>"3120,0"</f>
        <v>3120,0</v>
      </c>
      <c r="J9" s="11" t="str">
        <f>"2467,6080"</f>
        <v>2467,6080</v>
      </c>
      <c r="K9" s="9" t="s">
        <v>26</v>
      </c>
    </row>
    <row r="11" spans="1:10" ht="15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12.75">
      <c r="A12" s="9" t="s">
        <v>534</v>
      </c>
      <c r="B12" s="9" t="s">
        <v>535</v>
      </c>
      <c r="C12" s="9" t="s">
        <v>536</v>
      </c>
      <c r="D12" s="9" t="str">
        <f>"0,7169"</f>
        <v>0,7169</v>
      </c>
      <c r="E12" s="9" t="s">
        <v>88</v>
      </c>
      <c r="F12" s="9" t="s">
        <v>22</v>
      </c>
      <c r="G12" s="11" t="s">
        <v>537</v>
      </c>
      <c r="H12" s="30" t="s">
        <v>538</v>
      </c>
      <c r="I12" s="9" t="str">
        <f>"2250,0"</f>
        <v>2250,0</v>
      </c>
      <c r="J12" s="11" t="str">
        <f>"1613,0250"</f>
        <v>1613,0250</v>
      </c>
      <c r="K12" s="9" t="s">
        <v>26</v>
      </c>
    </row>
    <row r="14" spans="1:10" ht="15">
      <c r="A14" s="59" t="s">
        <v>42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1" ht="12.75">
      <c r="A15" s="9" t="s">
        <v>44</v>
      </c>
      <c r="B15" s="9" t="s">
        <v>45</v>
      </c>
      <c r="C15" s="9" t="s">
        <v>46</v>
      </c>
      <c r="D15" s="9" t="str">
        <f>"0,6940"</f>
        <v>0,6940</v>
      </c>
      <c r="E15" s="9" t="s">
        <v>21</v>
      </c>
      <c r="F15" s="9" t="s">
        <v>22</v>
      </c>
      <c r="G15" s="11" t="s">
        <v>539</v>
      </c>
      <c r="H15" s="30" t="s">
        <v>540</v>
      </c>
      <c r="I15" s="9" t="str">
        <f>"2250,0"</f>
        <v>2250,0</v>
      </c>
      <c r="J15" s="11" t="str">
        <f>"1561,5000"</f>
        <v>1561,5000</v>
      </c>
      <c r="K15" s="9" t="s">
        <v>50</v>
      </c>
    </row>
    <row r="17" spans="5:6" ht="15">
      <c r="E17" s="18" t="s">
        <v>51</v>
      </c>
      <c r="F17" s="35" t="s">
        <v>613</v>
      </c>
    </row>
    <row r="18" spans="5:6" ht="15">
      <c r="E18" s="18" t="s">
        <v>52</v>
      </c>
      <c r="F18" s="35" t="s">
        <v>614</v>
      </c>
    </row>
    <row r="19" spans="5:6" ht="15">
      <c r="E19" s="18" t="s">
        <v>53</v>
      </c>
      <c r="F19" s="35" t="s">
        <v>615</v>
      </c>
    </row>
    <row r="20" spans="5:6" ht="15">
      <c r="E20" s="18" t="s">
        <v>54</v>
      </c>
      <c r="F20" s="35" t="s">
        <v>616</v>
      </c>
    </row>
    <row r="21" spans="5:6" ht="15">
      <c r="E21" s="18" t="s">
        <v>54</v>
      </c>
      <c r="F21" s="35" t="s">
        <v>617</v>
      </c>
    </row>
    <row r="22" spans="5:6" ht="15">
      <c r="E22" s="18" t="s">
        <v>55</v>
      </c>
      <c r="F22" s="35" t="s">
        <v>618</v>
      </c>
    </row>
    <row r="25" spans="1:2" ht="18">
      <c r="A25" s="19" t="s">
        <v>56</v>
      </c>
      <c r="B25" s="19"/>
    </row>
    <row r="26" spans="1:2" ht="15">
      <c r="A26" s="20" t="s">
        <v>57</v>
      </c>
      <c r="B26" s="20"/>
    </row>
    <row r="27" spans="1:2" ht="14.25">
      <c r="A27" s="22"/>
      <c r="B27" s="23" t="s">
        <v>337</v>
      </c>
    </row>
    <row r="28" spans="1:5" ht="15">
      <c r="A28" s="24" t="s">
        <v>59</v>
      </c>
      <c r="B28" s="24" t="s">
        <v>60</v>
      </c>
      <c r="C28" s="24" t="s">
        <v>61</v>
      </c>
      <c r="D28" s="24" t="s">
        <v>62</v>
      </c>
      <c r="E28" s="24" t="s">
        <v>541</v>
      </c>
    </row>
    <row r="29" spans="1:5" ht="12.75">
      <c r="A29" s="21" t="s">
        <v>528</v>
      </c>
      <c r="B29" s="4" t="s">
        <v>338</v>
      </c>
      <c r="C29" s="4" t="s">
        <v>225</v>
      </c>
      <c r="D29" s="4" t="s">
        <v>542</v>
      </c>
      <c r="E29" s="25" t="s">
        <v>543</v>
      </c>
    </row>
    <row r="31" spans="1:2" ht="14.25">
      <c r="A31" s="22"/>
      <c r="B31" s="23" t="s">
        <v>58</v>
      </c>
    </row>
    <row r="32" spans="1:5" ht="15">
      <c r="A32" s="24" t="s">
        <v>59</v>
      </c>
      <c r="B32" s="24" t="s">
        <v>60</v>
      </c>
      <c r="C32" s="24" t="s">
        <v>61</v>
      </c>
      <c r="D32" s="24" t="s">
        <v>62</v>
      </c>
      <c r="E32" s="24" t="s">
        <v>541</v>
      </c>
    </row>
    <row r="33" spans="1:5" ht="12.75">
      <c r="A33" s="21" t="s">
        <v>533</v>
      </c>
      <c r="B33" s="4" t="s">
        <v>58</v>
      </c>
      <c r="C33" s="4" t="s">
        <v>66</v>
      </c>
      <c r="D33" s="4" t="s">
        <v>544</v>
      </c>
      <c r="E33" s="25" t="s">
        <v>545</v>
      </c>
    </row>
    <row r="34" spans="1:5" ht="12.75">
      <c r="A34" s="21" t="s">
        <v>43</v>
      </c>
      <c r="B34" s="4" t="s">
        <v>58</v>
      </c>
      <c r="C34" s="4" t="s">
        <v>64</v>
      </c>
      <c r="D34" s="4" t="s">
        <v>544</v>
      </c>
      <c r="E34" s="25" t="s">
        <v>546</v>
      </c>
    </row>
    <row r="36" spans="1:2" ht="14.25">
      <c r="A36" s="22"/>
      <c r="B36" s="23" t="s">
        <v>68</v>
      </c>
    </row>
    <row r="37" spans="1:5" ht="15">
      <c r="A37" s="24" t="s">
        <v>59</v>
      </c>
      <c r="B37" s="24" t="s">
        <v>60</v>
      </c>
      <c r="C37" s="24" t="s">
        <v>61</v>
      </c>
      <c r="D37" s="24" t="s">
        <v>62</v>
      </c>
      <c r="E37" s="24" t="s">
        <v>541</v>
      </c>
    </row>
    <row r="38" spans="1:5" ht="12.75">
      <c r="A38" s="21" t="s">
        <v>522</v>
      </c>
      <c r="B38" s="4" t="s">
        <v>99</v>
      </c>
      <c r="C38" s="4" t="s">
        <v>217</v>
      </c>
      <c r="D38" s="4" t="s">
        <v>547</v>
      </c>
      <c r="E38" s="25" t="s">
        <v>548</v>
      </c>
    </row>
    <row r="43" spans="1:2" ht="18">
      <c r="A43" s="19" t="s">
        <v>74</v>
      </c>
      <c r="B43" s="19"/>
    </row>
    <row r="44" spans="1:3" ht="15">
      <c r="A44" s="24" t="s">
        <v>75</v>
      </c>
      <c r="B44" s="24" t="s">
        <v>76</v>
      </c>
      <c r="C44" s="24" t="s">
        <v>77</v>
      </c>
    </row>
    <row r="45" spans="1:3" ht="12.75">
      <c r="A45" s="4" t="s">
        <v>21</v>
      </c>
      <c r="B45" s="4" t="s">
        <v>232</v>
      </c>
      <c r="C45" s="4" t="s">
        <v>549</v>
      </c>
    </row>
    <row r="46" spans="1:3" ht="12.75">
      <c r="A46" s="4" t="s">
        <v>88</v>
      </c>
      <c r="B46" s="4" t="s">
        <v>80</v>
      </c>
      <c r="C46" s="4" t="s">
        <v>550</v>
      </c>
    </row>
  </sheetData>
  <sheetProtection/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A14:J14"/>
    <mergeCell ref="I3:I4"/>
    <mergeCell ref="J3:J4"/>
    <mergeCell ref="K3:K4"/>
    <mergeCell ref="A5:J5"/>
    <mergeCell ref="A8:J8"/>
    <mergeCell ref="A11:J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C1">
      <selection activeCell="F20" sqref="E15:F2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6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20.25390625" style="4" bestFit="1" customWidth="1"/>
    <col min="18" max="16384" width="9.125" style="3" customWidth="1"/>
  </cols>
  <sheetData>
    <row r="1" spans="1:17" s="2" customFormat="1" ht="28.5" customHeight="1">
      <c r="A1" s="58" t="s">
        <v>504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1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11</v>
      </c>
      <c r="D3" s="56" t="s">
        <v>14</v>
      </c>
      <c r="E3" s="56" t="s">
        <v>7</v>
      </c>
      <c r="F3" s="56" t="s">
        <v>12</v>
      </c>
      <c r="G3" s="56" t="s">
        <v>485</v>
      </c>
      <c r="H3" s="56"/>
      <c r="I3" s="56"/>
      <c r="J3" s="56"/>
      <c r="K3" s="56" t="s">
        <v>344</v>
      </c>
      <c r="L3" s="56"/>
      <c r="M3" s="56"/>
      <c r="N3" s="56"/>
      <c r="O3" s="56" t="s">
        <v>4</v>
      </c>
      <c r="P3" s="56" t="s">
        <v>6</v>
      </c>
      <c r="Q3" s="44" t="s">
        <v>5</v>
      </c>
    </row>
    <row r="4" spans="1:17" s="1" customFormat="1" ht="21" customHeight="1" thickBot="1">
      <c r="A4" s="53"/>
      <c r="B4" s="55"/>
      <c r="C4" s="55"/>
      <c r="D4" s="55"/>
      <c r="E4" s="55"/>
      <c r="F4" s="5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55"/>
      <c r="P4" s="55"/>
      <c r="Q4" s="45"/>
    </row>
    <row r="5" spans="1:16" ht="15">
      <c r="A5" s="57" t="s">
        <v>154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2.75">
      <c r="A6" s="9" t="s">
        <v>505</v>
      </c>
      <c r="B6" s="9" t="s">
        <v>506</v>
      </c>
      <c r="C6" s="9" t="s">
        <v>290</v>
      </c>
      <c r="D6" s="9" t="str">
        <f>"0,6295"</f>
        <v>0,6295</v>
      </c>
      <c r="E6" s="9" t="s">
        <v>120</v>
      </c>
      <c r="F6" s="9" t="s">
        <v>22</v>
      </c>
      <c r="G6" s="11" t="s">
        <v>110</v>
      </c>
      <c r="H6" s="11" t="s">
        <v>507</v>
      </c>
      <c r="I6" s="10" t="s">
        <v>136</v>
      </c>
      <c r="J6" s="10"/>
      <c r="K6" s="11" t="s">
        <v>374</v>
      </c>
      <c r="L6" s="11" t="s">
        <v>122</v>
      </c>
      <c r="M6" s="37" t="s">
        <v>123</v>
      </c>
      <c r="N6" s="10"/>
      <c r="O6" s="38" t="s">
        <v>479</v>
      </c>
      <c r="P6" s="11" t="str">
        <f>"90,5794"</f>
        <v>90,5794</v>
      </c>
      <c r="Q6" s="9" t="s">
        <v>26</v>
      </c>
    </row>
    <row r="8" spans="1:16" ht="15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12.75">
      <c r="A9" s="12" t="s">
        <v>509</v>
      </c>
      <c r="B9" s="12" t="s">
        <v>510</v>
      </c>
      <c r="C9" s="12" t="s">
        <v>511</v>
      </c>
      <c r="D9" s="12" t="str">
        <f>"0,6098"</f>
        <v>0,6098</v>
      </c>
      <c r="E9" s="12" t="s">
        <v>88</v>
      </c>
      <c r="F9" s="12" t="s">
        <v>89</v>
      </c>
      <c r="G9" s="14" t="s">
        <v>110</v>
      </c>
      <c r="H9" s="14" t="s">
        <v>507</v>
      </c>
      <c r="I9" s="14" t="s">
        <v>136</v>
      </c>
      <c r="J9" s="13"/>
      <c r="K9" s="14" t="s">
        <v>121</v>
      </c>
      <c r="L9" s="14" t="s">
        <v>122</v>
      </c>
      <c r="M9" s="13" t="s">
        <v>388</v>
      </c>
      <c r="N9" s="13"/>
      <c r="O9" s="12" t="str">
        <f>"140,0"</f>
        <v>140,0</v>
      </c>
      <c r="P9" s="14" t="str">
        <f>"85,3720"</f>
        <v>85,3720</v>
      </c>
      <c r="Q9" s="12" t="s">
        <v>147</v>
      </c>
    </row>
    <row r="10" spans="1:17" ht="12.75">
      <c r="A10" s="15" t="s">
        <v>509</v>
      </c>
      <c r="B10" s="15" t="s">
        <v>512</v>
      </c>
      <c r="C10" s="15" t="s">
        <v>511</v>
      </c>
      <c r="D10" s="15" t="str">
        <f>"0,6098"</f>
        <v>0,6098</v>
      </c>
      <c r="E10" s="15" t="s">
        <v>88</v>
      </c>
      <c r="F10" s="15" t="s">
        <v>89</v>
      </c>
      <c r="G10" s="17" t="s">
        <v>110</v>
      </c>
      <c r="H10" s="17" t="s">
        <v>507</v>
      </c>
      <c r="I10" s="17" t="s">
        <v>136</v>
      </c>
      <c r="J10" s="16"/>
      <c r="K10" s="17" t="s">
        <v>121</v>
      </c>
      <c r="L10" s="17" t="s">
        <v>122</v>
      </c>
      <c r="M10" s="16" t="s">
        <v>388</v>
      </c>
      <c r="N10" s="16"/>
      <c r="O10" s="15" t="str">
        <f>"140,0"</f>
        <v>140,0</v>
      </c>
      <c r="P10" s="17" t="str">
        <f>"89,4699"</f>
        <v>89,4699</v>
      </c>
      <c r="Q10" s="15" t="s">
        <v>147</v>
      </c>
    </row>
    <row r="12" spans="1:16" ht="15">
      <c r="A12" s="59" t="s">
        <v>42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7" ht="12.75">
      <c r="A13" s="9" t="s">
        <v>329</v>
      </c>
      <c r="B13" s="9" t="s">
        <v>330</v>
      </c>
      <c r="C13" s="9" t="s">
        <v>331</v>
      </c>
      <c r="D13" s="9" t="str">
        <f>"0,5256"</f>
        <v>0,5256</v>
      </c>
      <c r="E13" s="9" t="s">
        <v>21</v>
      </c>
      <c r="F13" s="9" t="s">
        <v>22</v>
      </c>
      <c r="G13" s="10" t="s">
        <v>40</v>
      </c>
      <c r="H13" s="10" t="s">
        <v>40</v>
      </c>
      <c r="I13" s="11" t="s">
        <v>40</v>
      </c>
      <c r="J13" s="10"/>
      <c r="K13" s="11" t="s">
        <v>109</v>
      </c>
      <c r="L13" s="11" t="s">
        <v>110</v>
      </c>
      <c r="M13" s="11" t="s">
        <v>507</v>
      </c>
      <c r="N13" s="10"/>
      <c r="O13" s="9" t="str">
        <f>"177,5"</f>
        <v>177,5</v>
      </c>
      <c r="P13" s="11" t="str">
        <f>"93,2940"</f>
        <v>93,2940</v>
      </c>
      <c r="Q13" s="9" t="s">
        <v>335</v>
      </c>
    </row>
    <row r="15" spans="5:6" ht="15">
      <c r="E15" s="18" t="s">
        <v>51</v>
      </c>
      <c r="F15" s="35" t="s">
        <v>613</v>
      </c>
    </row>
    <row r="16" spans="5:6" ht="15">
      <c r="E16" s="18" t="s">
        <v>52</v>
      </c>
      <c r="F16" s="35" t="s">
        <v>614</v>
      </c>
    </row>
    <row r="17" spans="5:6" ht="15">
      <c r="E17" s="18" t="s">
        <v>53</v>
      </c>
      <c r="F17" s="35" t="s">
        <v>615</v>
      </c>
    </row>
    <row r="18" spans="5:6" ht="15">
      <c r="E18" s="18" t="s">
        <v>54</v>
      </c>
      <c r="F18" s="35" t="s">
        <v>616</v>
      </c>
    </row>
    <row r="19" spans="5:6" ht="15">
      <c r="E19" s="18" t="s">
        <v>54</v>
      </c>
      <c r="F19" s="35" t="s">
        <v>617</v>
      </c>
    </row>
    <row r="20" spans="5:6" ht="15">
      <c r="E20" s="18" t="s">
        <v>55</v>
      </c>
      <c r="F20" s="35" t="s">
        <v>618</v>
      </c>
    </row>
    <row r="21" ht="15">
      <c r="E21" s="18"/>
    </row>
    <row r="23" spans="1:2" ht="18">
      <c r="A23" s="19" t="s">
        <v>56</v>
      </c>
      <c r="B23" s="19"/>
    </row>
    <row r="24" spans="1:2" ht="15">
      <c r="A24" s="20" t="s">
        <v>57</v>
      </c>
      <c r="B24" s="20"/>
    </row>
    <row r="25" spans="1:2" ht="14.25">
      <c r="A25" s="22"/>
      <c r="B25" s="23" t="s">
        <v>434</v>
      </c>
    </row>
    <row r="26" spans="1:5" ht="15">
      <c r="A26" s="24" t="s">
        <v>59</v>
      </c>
      <c r="B26" s="24" t="s">
        <v>60</v>
      </c>
      <c r="C26" s="24" t="s">
        <v>61</v>
      </c>
      <c r="D26" s="24" t="s">
        <v>62</v>
      </c>
      <c r="E26" s="24" t="s">
        <v>63</v>
      </c>
    </row>
    <row r="27" spans="1:5" ht="12.75">
      <c r="A27" s="21" t="s">
        <v>417</v>
      </c>
      <c r="B27" s="4" t="s">
        <v>209</v>
      </c>
      <c r="C27" s="4" t="s">
        <v>225</v>
      </c>
      <c r="D27" s="35" t="s">
        <v>629</v>
      </c>
      <c r="E27" s="25" t="s">
        <v>513</v>
      </c>
    </row>
    <row r="29" spans="1:2" ht="14.25">
      <c r="A29" s="22"/>
      <c r="B29" s="23" t="s">
        <v>58</v>
      </c>
    </row>
    <row r="30" spans="1:5" ht="15">
      <c r="A30" s="24" t="s">
        <v>59</v>
      </c>
      <c r="B30" s="24" t="s">
        <v>60</v>
      </c>
      <c r="C30" s="24" t="s">
        <v>61</v>
      </c>
      <c r="D30" s="24" t="s">
        <v>62</v>
      </c>
      <c r="E30" s="24" t="s">
        <v>63</v>
      </c>
    </row>
    <row r="31" spans="1:5" ht="12.75">
      <c r="A31" s="21" t="s">
        <v>328</v>
      </c>
      <c r="B31" s="4" t="s">
        <v>58</v>
      </c>
      <c r="C31" s="4" t="s">
        <v>64</v>
      </c>
      <c r="D31" s="4" t="s">
        <v>206</v>
      </c>
      <c r="E31" s="25" t="s">
        <v>514</v>
      </c>
    </row>
    <row r="32" spans="1:5" ht="12.75">
      <c r="A32" s="21" t="s">
        <v>508</v>
      </c>
      <c r="B32" s="4" t="s">
        <v>58</v>
      </c>
      <c r="C32" s="4" t="s">
        <v>66</v>
      </c>
      <c r="D32" s="4" t="s">
        <v>168</v>
      </c>
      <c r="E32" s="25" t="s">
        <v>515</v>
      </c>
    </row>
    <row r="34" spans="1:2" ht="14.25">
      <c r="A34" s="22"/>
      <c r="B34" s="23" t="s">
        <v>68</v>
      </c>
    </row>
    <row r="35" spans="1:5" ht="15">
      <c r="A35" s="24" t="s">
        <v>59</v>
      </c>
      <c r="B35" s="24" t="s">
        <v>60</v>
      </c>
      <c r="C35" s="24" t="s">
        <v>61</v>
      </c>
      <c r="D35" s="24" t="s">
        <v>62</v>
      </c>
      <c r="E35" s="24" t="s">
        <v>63</v>
      </c>
    </row>
    <row r="36" spans="1:5" ht="12.75">
      <c r="A36" s="21" t="s">
        <v>508</v>
      </c>
      <c r="B36" s="4" t="s">
        <v>72</v>
      </c>
      <c r="C36" s="4" t="s">
        <v>66</v>
      </c>
      <c r="D36" s="4" t="s">
        <v>168</v>
      </c>
      <c r="E36" s="25" t="s">
        <v>516</v>
      </c>
    </row>
    <row r="41" spans="1:2" ht="18">
      <c r="A41" s="19" t="s">
        <v>74</v>
      </c>
      <c r="B41" s="19"/>
    </row>
    <row r="42" spans="1:3" ht="15">
      <c r="A42" s="24" t="s">
        <v>75</v>
      </c>
      <c r="B42" s="24" t="s">
        <v>76</v>
      </c>
      <c r="C42" s="24" t="s">
        <v>77</v>
      </c>
    </row>
    <row r="43" spans="1:3" ht="12.75">
      <c r="A43" s="4" t="s">
        <v>88</v>
      </c>
      <c r="B43" s="4" t="s">
        <v>232</v>
      </c>
      <c r="C43" s="4" t="s">
        <v>517</v>
      </c>
    </row>
    <row r="44" spans="1:3" ht="12.75">
      <c r="A44" s="4" t="s">
        <v>21</v>
      </c>
      <c r="B44" s="4" t="s">
        <v>80</v>
      </c>
      <c r="C44" s="4" t="s">
        <v>518</v>
      </c>
    </row>
  </sheetData>
  <sheetProtection/>
  <mergeCells count="15">
    <mergeCell ref="A12:P12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2019-10-21T09:11:39Z</dcterms:modified>
  <cp:category/>
  <cp:version/>
  <cp:contentType/>
  <cp:contentStatus/>
</cp:coreProperties>
</file>